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6285" windowHeight="9120" tabRatio="946" firstSheet="20" activeTab="20"/>
  </bookViews>
  <sheets>
    <sheet name="Сырьё" sheetId="1" r:id="rId1"/>
    <sheet name="Потол. Б (бл.)" sheetId="2" state="hidden" r:id="rId2"/>
    <sheet name="Потол. СБ (бл.)" sheetId="3" state="hidden" r:id="rId3"/>
    <sheet name="Зимн.Б" sheetId="4" state="hidden" r:id="rId4"/>
    <sheet name="Потол.СБ (смывки)" sheetId="5" state="hidden" r:id="rId5"/>
    <sheet name="Потол.СБ." sheetId="6" state="hidden" r:id="rId6"/>
    <sheet name="Внутр.СБ (смывки)" sheetId="7" state="hidden" r:id="rId7"/>
    <sheet name="Внутр.СБ (2)" sheetId="8" state="hidden" r:id="rId8"/>
    <sheet name="Внутр.СБ" sheetId="9" state="hidden" r:id="rId9"/>
    <sheet name="Нар.внутр.СБ(смывки)" sheetId="10" state="hidden" r:id="rId10"/>
    <sheet name="Нар.внутр.СБ" sheetId="11" state="hidden" r:id="rId11"/>
    <sheet name="Фас.СБ (смывки)" sheetId="12" state="hidden" r:id="rId12"/>
    <sheet name="Фас.СБ" sheetId="13" state="hidden" r:id="rId13"/>
    <sheet name="Зимн.Б (2)" sheetId="14" state="hidden" r:id="rId14"/>
    <sheet name="Потол.Б. (смывки)" sheetId="15" state="hidden" r:id="rId15"/>
    <sheet name="Потол.Б." sheetId="16" state="hidden" r:id="rId16"/>
    <sheet name="Внутр.Б.(смывки)" sheetId="17" state="hidden" r:id="rId17"/>
    <sheet name="Потол.Белая (2)" sheetId="18" state="hidden" r:id="rId18"/>
    <sheet name="Потол.Белая(Polycol)" sheetId="19" state="hidden" r:id="rId19"/>
    <sheet name="Потол.Б. (spezial)" sheetId="20" state="hidden" r:id="rId20"/>
    <sheet name="Потол (Natrosol 250 HHBR) " sheetId="21" r:id="rId21"/>
    <sheet name="Внутр.Б. (3)" sheetId="22" state="hidden" r:id="rId22"/>
    <sheet name="Внутр.Белая(3)" sheetId="23" state="hidden" r:id="rId23"/>
    <sheet name="Внутр.Белая(Polycol)" sheetId="24" state="hidden" r:id="rId24"/>
    <sheet name="Нар.внутрБ. (Aqyaflow)" sheetId="25" state="hidden" r:id="rId25"/>
    <sheet name="Нар.внутрБ. (Aqyaflow210)" sheetId="26" state="hidden" r:id="rId26"/>
    <sheet name="Внутр.Б. (430-271)" sheetId="27" state="hidden" r:id="rId27"/>
    <sheet name="Фас.Б. " sheetId="28" state="hidden" r:id="rId28"/>
    <sheet name="Фас.Б.  (210)" sheetId="29" state="hidden" r:id="rId29"/>
    <sheet name="Внутр.Б." sheetId="30" state="hidden" r:id="rId30"/>
    <sheet name="Нар.внутр.С.Б.(смывки) (2)" sheetId="31" state="hidden" r:id="rId31"/>
    <sheet name="Нар.внутрБ." sheetId="32" state="hidden" r:id="rId32"/>
    <sheet name="Нар.внутрС.Б. (2)" sheetId="33" state="hidden" r:id="rId33"/>
    <sheet name="Фас.С.Б. (смывки) (2)" sheetId="34" state="hidden" r:id="rId34"/>
    <sheet name="Фас..Б." sheetId="35" state="hidden" r:id="rId35"/>
    <sheet name="Фас.Б нов. (2)" sheetId="36" state="hidden" r:id="rId36"/>
    <sheet name="Фас..Б. (2)" sheetId="37" state="hidden" r:id="rId37"/>
    <sheet name="Фас.С.Б. (2)" sheetId="38" state="hidden" r:id="rId38"/>
    <sheet name="Потол.Б нов (смывки)" sheetId="39" state="hidden" r:id="rId39"/>
    <sheet name="Потол.Б нов." sheetId="40" state="hidden" r:id="rId40"/>
    <sheet name="Внутр.Б нов (смывки)" sheetId="41" state="hidden" r:id="rId41"/>
    <sheet name="Внутр.Б нов." sheetId="42" state="hidden" r:id="rId42"/>
    <sheet name="Нар.внутр.Б нов(смывки)" sheetId="43" state="hidden" r:id="rId43"/>
    <sheet name="Нар.внутр.Б нов." sheetId="44" state="hidden" r:id="rId44"/>
    <sheet name="Нар.внутр.Б нов. (2)" sheetId="45" state="hidden" r:id="rId45"/>
    <sheet name="Фас.Б (смывки)" sheetId="46" state="hidden" r:id="rId46"/>
    <sheet name="Фас.Б нов." sheetId="47" state="hidden" r:id="rId47"/>
    <sheet name="Лист1" sheetId="48" r:id="rId48"/>
  </sheets>
  <externalReferences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Превентол" localSheetId="40">'Внутр.Б нов (смывки)'!Превентол</definedName>
    <definedName name="Превентол" localSheetId="41">'Внутр.Б нов.'!Превентол</definedName>
    <definedName name="Превентол" localSheetId="29">'Внутр.Б.'!Превентол</definedName>
    <definedName name="Превентол" localSheetId="21">'Внутр.Б. (3)'!Превентол</definedName>
    <definedName name="Превентол" localSheetId="26">'Внутр.Б. (430-271)'!Превентол</definedName>
    <definedName name="Превентол" localSheetId="16">'Внутр.Б.(смывки)'!Превентол</definedName>
    <definedName name="Превентол" localSheetId="22">'Внутр.Белая(3)'!Превентол</definedName>
    <definedName name="Превентол" localSheetId="23">'Внутр.Белая(Polycol)'!Превентол</definedName>
    <definedName name="Превентол" localSheetId="8">'Внутр.СБ'!Превентол</definedName>
    <definedName name="Превентол" localSheetId="7">'Внутр.СБ (2)'!Превентол</definedName>
    <definedName name="Превентол" localSheetId="6">'Внутр.СБ (смывки)'!Превентол</definedName>
    <definedName name="Превентол" localSheetId="3">'Зимн.Б'!Превентол</definedName>
    <definedName name="Превентол" localSheetId="13">'Зимн.Б (2)'!Превентол</definedName>
    <definedName name="Превентол" localSheetId="42">'Нар.внутр.Б нов(смывки)'!Превентол</definedName>
    <definedName name="Превентол" localSheetId="43">'Нар.внутр.Б нов.'!Превентол</definedName>
    <definedName name="Превентол" localSheetId="44">'Нар.внутр.Б нов. (2)'!Превентол</definedName>
    <definedName name="Превентол" localSheetId="30">'Нар.внутр.С.Б.(смывки) (2)'!Превентол</definedName>
    <definedName name="Превентол" localSheetId="10">'Нар.внутр.СБ'!Превентол</definedName>
    <definedName name="Превентол" localSheetId="9">'Нар.внутр.СБ(смывки)'!Превентол</definedName>
    <definedName name="Превентол" localSheetId="31">'Нар.внутрБ.'!Превентол</definedName>
    <definedName name="Превентол" localSheetId="24">'Нар.внутрБ. (Aqyaflow)'!Превентол</definedName>
    <definedName name="Превентол" localSheetId="25">'Нар.внутрБ. (Aqyaflow210)'!Превентол</definedName>
    <definedName name="Превентол" localSheetId="32">'Нар.внутрС.Б. (2)'!Превентол</definedName>
    <definedName name="Превентол" localSheetId="20">'Потол (Natrosol 250 HHBR) '!Превентол</definedName>
    <definedName name="Превентол" localSheetId="38">'Потол.Б нов (смывки)'!Превентол</definedName>
    <definedName name="Превентол" localSheetId="39">'Потол.Б нов.'!Превентол</definedName>
    <definedName name="Превентол" localSheetId="15">'Потол.Б.'!Превентол</definedName>
    <definedName name="Превентол" localSheetId="19">'Потол.Б. (spezial)'!Превентол</definedName>
    <definedName name="Превентол" localSheetId="14">'Потол.Б. (смывки)'!Превентол</definedName>
    <definedName name="Превентол" localSheetId="17">'Потол.Белая (2)'!Превентол</definedName>
    <definedName name="Превентол" localSheetId="18">'Потол.Белая(Polycol)'!Превентол</definedName>
    <definedName name="Превентол" localSheetId="4">'Потол.СБ (смывки)'!Превентол</definedName>
    <definedName name="Превентол" localSheetId="5">'Потол.СБ.'!Превентол</definedName>
    <definedName name="Превентол" localSheetId="34">'Фас..Б.'!Превентол</definedName>
    <definedName name="Превентол" localSheetId="36">'Фас..Б. (2)'!Превентол</definedName>
    <definedName name="Превентол" localSheetId="45">'Фас.Б (смывки)'!Превентол</definedName>
    <definedName name="Превентол" localSheetId="46">'Фас.Б нов.'!Превентол</definedName>
    <definedName name="Превентол" localSheetId="35">'Фас.Б нов. (2)'!Превентол</definedName>
    <definedName name="Превентол" localSheetId="27">'Фас.Б. '!Превентол</definedName>
    <definedName name="Превентол" localSheetId="28">'Фас.Б.  (210)'!Превентол</definedName>
    <definedName name="Превентол" localSheetId="37">'Фас.С.Б. (2)'!Превентол</definedName>
    <definedName name="Превентол" localSheetId="33">'Фас.С.Б. (смывки) (2)'!Превентол</definedName>
    <definedName name="Превентол" localSheetId="12">'Фас.СБ'!Превентол</definedName>
    <definedName name="Превентол" localSheetId="11">'Фас.СБ (смывки)'!Превентол</definedName>
    <definedName name="Превентол">[0]!Превентол</definedName>
    <definedName name="Тиурам" localSheetId="40">'Внутр.Б нов (смывки)'!Тиурам</definedName>
    <definedName name="Тиурам" localSheetId="41">'Внутр.Б нов.'!Тиурам</definedName>
    <definedName name="Тиурам" localSheetId="29">'Внутр.Б.'!Тиурам</definedName>
    <definedName name="Тиурам" localSheetId="21">'Внутр.Б. (3)'!Тиурам</definedName>
    <definedName name="Тиурам" localSheetId="26">'Внутр.Б. (430-271)'!Тиурам</definedName>
    <definedName name="Тиурам" localSheetId="16">'Внутр.Б.(смывки)'!Тиурам</definedName>
    <definedName name="Тиурам" localSheetId="22">'Внутр.Белая(3)'!Тиурам</definedName>
    <definedName name="Тиурам" localSheetId="23">'Внутр.Белая(Polycol)'!Тиурам</definedName>
    <definedName name="Тиурам" localSheetId="8">'Внутр.СБ'!Тиурам</definedName>
    <definedName name="Тиурам" localSheetId="7">'Внутр.СБ (2)'!Тиурам</definedName>
    <definedName name="Тиурам" localSheetId="6">'Внутр.СБ (смывки)'!Тиурам</definedName>
    <definedName name="Тиурам" localSheetId="3">'Зимн.Б'!Тиурам</definedName>
    <definedName name="Тиурам" localSheetId="13">'Зимн.Б (2)'!Тиурам</definedName>
    <definedName name="Тиурам" localSheetId="42">'Нар.внутр.Б нов(смывки)'!Тиурам</definedName>
    <definedName name="Тиурам" localSheetId="43">'Нар.внутр.Б нов.'!Тиурам</definedName>
    <definedName name="Тиурам" localSheetId="44">'Нар.внутр.Б нов. (2)'!Тиурам</definedName>
    <definedName name="Тиурам" localSheetId="30">'Нар.внутр.С.Б.(смывки) (2)'!Тиурам</definedName>
    <definedName name="Тиурам" localSheetId="10">'Нар.внутр.СБ'!Тиурам</definedName>
    <definedName name="Тиурам" localSheetId="9">'Нар.внутр.СБ(смывки)'!Тиурам</definedName>
    <definedName name="Тиурам" localSheetId="31">'Нар.внутрБ.'!Тиурам</definedName>
    <definedName name="Тиурам" localSheetId="24">'Нар.внутрБ. (Aqyaflow)'!Тиурам</definedName>
    <definedName name="Тиурам" localSheetId="25">'Нар.внутрБ. (Aqyaflow210)'!Тиурам</definedName>
    <definedName name="Тиурам" localSheetId="32">'Нар.внутрС.Б. (2)'!Тиурам</definedName>
    <definedName name="Тиурам" localSheetId="20">'Потол (Natrosol 250 HHBR) '!Тиурам</definedName>
    <definedName name="Тиурам" localSheetId="38">'Потол.Б нов (смывки)'!Тиурам</definedName>
    <definedName name="Тиурам" localSheetId="39">'Потол.Б нов.'!Тиурам</definedName>
    <definedName name="Тиурам" localSheetId="15">'Потол.Б.'!Тиурам</definedName>
    <definedName name="Тиурам" localSheetId="19">'Потол.Б. (spezial)'!Тиурам</definedName>
    <definedName name="Тиурам" localSheetId="14">'Потол.Б. (смывки)'!Тиурам</definedName>
    <definedName name="Тиурам" localSheetId="17">'Потол.Белая (2)'!Тиурам</definedName>
    <definedName name="Тиурам" localSheetId="18">'Потол.Белая(Polycol)'!Тиурам</definedName>
    <definedName name="Тиурам" localSheetId="4">'Потол.СБ (смывки)'!Тиурам</definedName>
    <definedName name="Тиурам" localSheetId="5">'Потол.СБ.'!Тиурам</definedName>
    <definedName name="Тиурам" localSheetId="34">'Фас..Б.'!Тиурам</definedName>
    <definedName name="Тиурам" localSheetId="36">'Фас..Б. (2)'!Тиурам</definedName>
    <definedName name="Тиурам" localSheetId="45">'Фас.Б (смывки)'!Тиурам</definedName>
    <definedName name="Тиурам" localSheetId="46">'Фас.Б нов.'!Тиурам</definedName>
    <definedName name="Тиурам" localSheetId="35">'Фас.Б нов. (2)'!Тиурам</definedName>
    <definedName name="Тиурам" localSheetId="27">'Фас.Б. '!Тиурам</definedName>
    <definedName name="Тиурам" localSheetId="28">'Фас.Б.  (210)'!Тиурам</definedName>
    <definedName name="Тиурам" localSheetId="37">'Фас.С.Б. (2)'!Тиурам</definedName>
    <definedName name="Тиурам" localSheetId="33">'Фас.С.Б. (смывки) (2)'!Тиурам</definedName>
    <definedName name="Тиурам" localSheetId="12">'Фас.СБ'!Тиурам</definedName>
    <definedName name="Тиурам" localSheetId="11">'Фас.СБ (смывки)'!Тиурам</definedName>
    <definedName name="Тиурам">[0]!Тиурам</definedName>
  </definedNames>
  <calcPr fullCalcOnLoad="1"/>
</workbook>
</file>

<file path=xl/comments8.xml><?xml version="1.0" encoding="utf-8"?>
<comments xmlns="http://schemas.openxmlformats.org/spreadsheetml/2006/main">
  <authors>
    <author>Трегубенков</author>
  </authors>
  <commentList>
    <comment ref="A14" authorId="0">
      <text>
        <r>
          <rPr>
            <b/>
            <sz val="8"/>
            <rFont val="Tahoma"/>
            <family val="0"/>
          </rPr>
          <t>Трегубенков: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Трегубенков</author>
  </authors>
  <commentList>
    <comment ref="A14" authorId="0">
      <text>
        <r>
          <rPr>
            <b/>
            <sz val="8"/>
            <rFont val="Tahoma"/>
            <family val="0"/>
          </rPr>
          <t>Трегубенков: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<sst xmlns="http://schemas.openxmlformats.org/spreadsheetml/2006/main" count="2473" uniqueCount="214">
  <si>
    <t>Вода</t>
  </si>
  <si>
    <t>Этиленгликоль</t>
  </si>
  <si>
    <t xml:space="preserve">                                  </t>
  </si>
  <si>
    <t xml:space="preserve">                                      </t>
  </si>
  <si>
    <t>Внешний вид покрытия</t>
  </si>
  <si>
    <t>Норма
загрузки, кг</t>
  </si>
  <si>
    <t>Подпись
оператора</t>
  </si>
  <si>
    <t>Масса (кг):</t>
  </si>
  <si>
    <t>Наименование
компонентов</t>
  </si>
  <si>
    <t>Загружено,
кг</t>
  </si>
  <si>
    <t>Добавка, кг</t>
  </si>
  <si>
    <t>ИТОГО:</t>
  </si>
  <si>
    <t>Оператор _______________</t>
  </si>
  <si>
    <t>Наименорвание
показателей</t>
  </si>
  <si>
    <t>Фактически</t>
  </si>
  <si>
    <t>Лаборант __________________</t>
  </si>
  <si>
    <t>МДНВ, %</t>
  </si>
  <si>
    <t>Степень перетира, мкм</t>
  </si>
  <si>
    <t>Omyacarb 2X-KA</t>
  </si>
  <si>
    <t>Рецептура от</t>
  </si>
  <si>
    <t>Бригада фасовки:</t>
  </si>
  <si>
    <t>Фасовка:</t>
  </si>
  <si>
    <t>Диспергатор:</t>
  </si>
  <si>
    <t>Пеногаситель:</t>
  </si>
  <si>
    <t>Консервант:</t>
  </si>
  <si>
    <t>Диоксид титана:</t>
  </si>
  <si>
    <t>Мел:</t>
  </si>
  <si>
    <t>Ассоциативный загуститель:</t>
  </si>
  <si>
    <t>Партия №                           от</t>
  </si>
  <si>
    <t xml:space="preserve">Заказчик:    </t>
  </si>
  <si>
    <t>ТПФН (10% раствор)</t>
  </si>
  <si>
    <t>Диспергировать ~ 30 мин на высоких оборотах.</t>
  </si>
  <si>
    <t>Теоретический сухой остаток:</t>
  </si>
  <si>
    <t>КОНТРОЛЬ  КАЧЕСТВА</t>
  </si>
  <si>
    <t>Однородная матовая поверхность</t>
  </si>
  <si>
    <t>Цвет плёнки</t>
  </si>
  <si>
    <t>Должен соотв. контр. образцу</t>
  </si>
  <si>
    <t>н/м 55</t>
  </si>
  <si>
    <t>Динамическая вязкость
при 20 об/мин, Па·с</t>
  </si>
  <si>
    <t>8-12</t>
  </si>
  <si>
    <t>н/б 80</t>
  </si>
  <si>
    <t>Время высыхания до ст. 3 
при (20±2)°С, ч</t>
  </si>
  <si>
    <t>н/б 1</t>
  </si>
  <si>
    <t>Дисперсия для интерьерных:</t>
  </si>
  <si>
    <t>Дисперсия для фасадных:</t>
  </si>
  <si>
    <t>Технолог смены ______________</t>
  </si>
  <si>
    <r>
      <t>МАРКИ СЫРЬЯ,</t>
    </r>
    <r>
      <rPr>
        <sz val="10"/>
        <color indexed="12"/>
        <rFont val="Arial Cyr"/>
        <family val="2"/>
      </rPr>
      <t xml:space="preserve"> 
</t>
    </r>
    <r>
      <rPr>
        <b/>
        <sz val="12"/>
        <color indexed="12"/>
        <rFont val="Arial Cyr"/>
        <family val="2"/>
      </rPr>
      <t>ИСПОЛЬЗУЕМЫЕ НА ПРЕДПРИЯТИИ В НАСТОЯЩИЙ МОМЕНТ</t>
    </r>
  </si>
  <si>
    <t>Норма по ТУ
2316-004-32998388-2003</t>
  </si>
  <si>
    <t>Уайт-спирит</t>
  </si>
  <si>
    <t>Карбамид</t>
  </si>
  <si>
    <t>Omyacarb 5-KA</t>
  </si>
  <si>
    <t>Консервант Acticide FI</t>
  </si>
  <si>
    <t>Параформальдегид</t>
  </si>
  <si>
    <t>Перемешивать 10-15 мин.
Загуститель вводить небольшими порциями до требуемой вязкости.</t>
  </si>
  <si>
    <t xml:space="preserve">Оборудование:   </t>
  </si>
  <si>
    <t xml:space="preserve">№ оператора:   </t>
  </si>
  <si>
    <t>Тальк:</t>
  </si>
  <si>
    <r>
      <t xml:space="preserve">Краска ВД-АК-2180 для внутренних работ 
</t>
    </r>
    <r>
      <rPr>
        <b/>
        <i/>
        <sz val="16"/>
        <rFont val="Arial"/>
        <family val="2"/>
      </rPr>
      <t>белая</t>
    </r>
  </si>
  <si>
    <r>
      <t xml:space="preserve">Краска ВД-АК-2180 потолочная 
</t>
    </r>
    <r>
      <rPr>
        <b/>
        <i/>
        <sz val="16"/>
        <rFont val="Arial"/>
        <family val="2"/>
      </rPr>
      <t>белая</t>
    </r>
  </si>
  <si>
    <t>Допустимые марки целлюлозных загустителей:</t>
  </si>
  <si>
    <r>
      <t xml:space="preserve">Примечание: </t>
    </r>
    <r>
      <rPr>
        <b/>
        <i/>
        <sz val="10"/>
        <color indexed="12"/>
        <rFont val="Arial Cyr"/>
        <family val="2"/>
      </rPr>
      <t xml:space="preserve">
Указанное сырьё автоматически переносится во все рецептуры данного файла.</t>
    </r>
  </si>
  <si>
    <t>Отдушка "зелёное яблоко"</t>
  </si>
  <si>
    <r>
      <t xml:space="preserve">Краска ВД-АК-1180 для наружных и внутренних работ 
</t>
    </r>
    <r>
      <rPr>
        <b/>
        <i/>
        <sz val="16"/>
        <rFont val="Arial"/>
        <family val="2"/>
      </rPr>
      <t>белая</t>
    </r>
  </si>
  <si>
    <t>Оборудование:</t>
  </si>
  <si>
    <t>Blanose 7Н9 (1,15% р-р)</t>
  </si>
  <si>
    <t>Смешивать 5-10 мин на низких оборотах.</t>
  </si>
  <si>
    <t>Перемешивать 10-15 мин на низких оборотах.
Загуститель вводить небольшими порциями до требуемой вязкости.</t>
  </si>
  <si>
    <t>Норма по ТУ
2316-004-32998388-2002</t>
  </si>
  <si>
    <t>Парфюмерная отдушка</t>
  </si>
  <si>
    <t>Sandiol 18/11 (17,5% р-р)</t>
  </si>
  <si>
    <r>
      <t xml:space="preserve">Краска ВД-АК-2180 потолочная </t>
    </r>
    <r>
      <rPr>
        <b/>
        <sz val="14"/>
        <rFont val="Arial"/>
        <family val="2"/>
      </rPr>
      <t xml:space="preserve">
</t>
    </r>
    <r>
      <rPr>
        <b/>
        <i/>
        <sz val="14"/>
        <rFont val="Arial"/>
        <family val="2"/>
      </rPr>
      <t>белая</t>
    </r>
  </si>
  <si>
    <r>
      <t xml:space="preserve">Краска ВД-АК-2180 потолочная </t>
    </r>
    <r>
      <rPr>
        <b/>
        <sz val="14"/>
        <rFont val="Arial"/>
        <family val="2"/>
      </rPr>
      <t xml:space="preserve">
</t>
    </r>
    <r>
      <rPr>
        <b/>
        <i/>
        <sz val="14"/>
        <rFont val="Arial"/>
        <family val="2"/>
      </rPr>
      <t>супербелая</t>
    </r>
  </si>
  <si>
    <t>23.05.2003г</t>
  </si>
  <si>
    <t>Finndisp A2001</t>
  </si>
  <si>
    <t>н/б 2</t>
  </si>
  <si>
    <t>Эфиргликолевый коалесцент:</t>
  </si>
  <si>
    <t>Углеводородный коалесцент:</t>
  </si>
  <si>
    <t>Мел M-5</t>
  </si>
  <si>
    <t>Целлюлозный загуститель для внутренних красок:</t>
  </si>
  <si>
    <t>Целлюлозный загуститель для наружных красок:</t>
  </si>
  <si>
    <t>Nextcoat 795</t>
  </si>
  <si>
    <t>10-15</t>
  </si>
  <si>
    <t>Омиакарб</t>
  </si>
  <si>
    <t>BYK-022</t>
  </si>
  <si>
    <t>Микротальк МТ-10 Геоком</t>
  </si>
  <si>
    <t>Зауститель предварительно развести водой в отдельной ёмкости.</t>
  </si>
  <si>
    <t>Перемешивать до полного растворения загустителя (не менее 10 мин).</t>
  </si>
  <si>
    <t>Смешивать 5 мин.</t>
  </si>
  <si>
    <t>Диспергировать ~ 30 мин.Далее добавить:</t>
  </si>
  <si>
    <t>Диспергировать ~ 30 мин. Далее добавить:</t>
  </si>
  <si>
    <t xml:space="preserve">Смешивать 5 мин </t>
  </si>
  <si>
    <t>Загуститель предварительно развести в воде.</t>
  </si>
  <si>
    <t>Загуститель вводить небольшими порциями до требуемой вязкости. Окончательное перемешивание 10-15 мин.</t>
  </si>
  <si>
    <t>Смывки</t>
  </si>
  <si>
    <t>с.о.</t>
  </si>
  <si>
    <t>Dolomit Extra</t>
  </si>
  <si>
    <t>Марки дисперсий</t>
  </si>
  <si>
    <t>DL-450</t>
  </si>
  <si>
    <t>Acronal 290D</t>
  </si>
  <si>
    <t>Nexcoat 795</t>
  </si>
  <si>
    <r>
      <t xml:space="preserve">Краска ВД-АК-2180 потолочная 
</t>
    </r>
    <r>
      <rPr>
        <b/>
        <i/>
        <sz val="16"/>
        <rFont val="Arial"/>
        <family val="2"/>
      </rPr>
      <t>белая новая-2</t>
    </r>
  </si>
  <si>
    <r>
      <t xml:space="preserve">Краска ВД-АК-2180 для внутренних работ 
</t>
    </r>
    <r>
      <rPr>
        <b/>
        <i/>
        <sz val="16"/>
        <rFont val="Arial"/>
        <family val="2"/>
      </rPr>
      <t>белая новая-2</t>
    </r>
  </si>
  <si>
    <t>17.01.2005.</t>
  </si>
  <si>
    <r>
      <t xml:space="preserve">Краска ВД-АК-1180 для наружных и внутренних работ 
</t>
    </r>
    <r>
      <rPr>
        <b/>
        <i/>
        <sz val="16"/>
        <rFont val="Arial"/>
        <family val="2"/>
      </rPr>
      <t>белая новая-2</t>
    </r>
  </si>
  <si>
    <r>
      <t xml:space="preserve">Краска ВД-АК-1180 фасадная 
</t>
    </r>
    <r>
      <rPr>
        <b/>
        <i/>
        <sz val="16"/>
        <rFont val="Arial"/>
        <family val="2"/>
      </rPr>
      <t>белая новая-2</t>
    </r>
  </si>
  <si>
    <t>МК-10-98 Геоком</t>
  </si>
  <si>
    <t>Omyacarb 5KA</t>
  </si>
  <si>
    <t>7.02.2005.</t>
  </si>
  <si>
    <t>Двуокись титана Kronos 2190</t>
  </si>
  <si>
    <t xml:space="preserve">Заказчик:  </t>
  </si>
  <si>
    <t>12.01.2005.</t>
  </si>
  <si>
    <r>
      <t xml:space="preserve">Краска ВД-АК-1180 фасадная 
</t>
    </r>
    <r>
      <rPr>
        <b/>
        <i/>
        <sz val="16"/>
        <rFont val="Arial"/>
        <family val="2"/>
      </rPr>
      <t>белая</t>
    </r>
  </si>
  <si>
    <t>Omyacarb 2KA</t>
  </si>
  <si>
    <r>
      <t>Краска ВД-АК-2180 потолочная 
супер</t>
    </r>
    <r>
      <rPr>
        <b/>
        <i/>
        <sz val="16"/>
        <rFont val="Arial"/>
        <family val="2"/>
      </rPr>
      <t xml:space="preserve">белая </t>
    </r>
  </si>
  <si>
    <t>24.02.2005.</t>
  </si>
  <si>
    <r>
      <t>Краска ВД-АК-2180 для внутренних работ 
супер</t>
    </r>
    <r>
      <rPr>
        <b/>
        <i/>
        <sz val="16"/>
        <rFont val="Arial"/>
        <family val="2"/>
      </rPr>
      <t xml:space="preserve">белая </t>
    </r>
  </si>
  <si>
    <r>
      <t>Краска ВД-АК-1180 для наружных и внутренних работ 
супер</t>
    </r>
    <r>
      <rPr>
        <b/>
        <i/>
        <sz val="16"/>
        <rFont val="Arial"/>
        <family val="2"/>
      </rPr>
      <t xml:space="preserve">белая </t>
    </r>
  </si>
  <si>
    <r>
      <t>Краска ВД-АК-1180 фасадная 
супер</t>
    </r>
    <r>
      <rPr>
        <b/>
        <i/>
        <sz val="16"/>
        <rFont val="Arial"/>
        <family val="2"/>
      </rPr>
      <t xml:space="preserve">белая </t>
    </r>
  </si>
  <si>
    <r>
      <t>Краска ВД-АК-2180 потолочная 
супер</t>
    </r>
    <r>
      <rPr>
        <b/>
        <i/>
        <sz val="16"/>
        <rFont val="Arial"/>
        <family val="2"/>
      </rPr>
      <t>белая</t>
    </r>
  </si>
  <si>
    <r>
      <t>Краска ВД-АК-2180 для внутренних работ 
супер</t>
    </r>
    <r>
      <rPr>
        <b/>
        <i/>
        <sz val="16"/>
        <rFont val="Arial"/>
        <family val="2"/>
      </rPr>
      <t>белая</t>
    </r>
  </si>
  <si>
    <r>
      <t>Краска ВД-АК-1180 для наружных и внутренних работ 
супер</t>
    </r>
    <r>
      <rPr>
        <b/>
        <i/>
        <sz val="16"/>
        <rFont val="Arial"/>
        <family val="2"/>
      </rPr>
      <t>белая</t>
    </r>
  </si>
  <si>
    <r>
      <t>Краска ВД-АК-1180 фасадная 
супер</t>
    </r>
    <r>
      <rPr>
        <b/>
        <i/>
        <sz val="16"/>
        <rFont val="Arial"/>
        <family val="2"/>
      </rPr>
      <t>белая</t>
    </r>
  </si>
  <si>
    <t>Orotan N4045</t>
  </si>
  <si>
    <t>25.02.2005.</t>
  </si>
  <si>
    <t>Двуокись титана Lomon R996</t>
  </si>
  <si>
    <t>Гуркал 20</t>
  </si>
  <si>
    <t>Марки двуокиси титана</t>
  </si>
  <si>
    <t>Двуокись титана Cristal 128</t>
  </si>
  <si>
    <t>17.03.2005.</t>
  </si>
  <si>
    <t>Primal SF-016</t>
  </si>
  <si>
    <t>Кальцит ТС-1</t>
  </si>
  <si>
    <t>Кальцит ТС-5</t>
  </si>
  <si>
    <t>МК-1099 Геоком</t>
  </si>
  <si>
    <t>Двуокись титана RTC-90</t>
  </si>
  <si>
    <t>Марки наполнителей-2:</t>
  </si>
  <si>
    <t>Марки наполнителей-5:</t>
  </si>
  <si>
    <t>Primal AC-261</t>
  </si>
  <si>
    <t>Диспергатор Opotan N4045</t>
  </si>
  <si>
    <t>Загуститель Rheovis 112</t>
  </si>
  <si>
    <t>Дисперсия смесевая</t>
  </si>
  <si>
    <t>Двуокись титана PF-9400</t>
  </si>
  <si>
    <t>Двуокись титана CR-08</t>
  </si>
  <si>
    <r>
      <t xml:space="preserve">Краска ВД-АК-1180 фасадная зимняя
</t>
    </r>
    <r>
      <rPr>
        <b/>
        <i/>
        <sz val="16"/>
        <rFont val="Arial"/>
        <family val="2"/>
      </rPr>
      <t>белая</t>
    </r>
  </si>
  <si>
    <r>
      <t xml:space="preserve">Краска ВД-АК-2180 для внутренних работ 
</t>
    </r>
    <r>
      <rPr>
        <b/>
        <i/>
        <sz val="16"/>
        <rFont val="Arial"/>
        <family val="2"/>
      </rPr>
      <t xml:space="preserve">белая </t>
    </r>
  </si>
  <si>
    <r>
      <t xml:space="preserve">Краска ВД-АК-1180 для наружных и внутренних работ 
</t>
    </r>
    <r>
      <rPr>
        <b/>
        <i/>
        <sz val="16"/>
        <rFont val="Arial"/>
        <family val="2"/>
      </rPr>
      <t xml:space="preserve">белая </t>
    </r>
  </si>
  <si>
    <r>
      <t xml:space="preserve">Краска ВД-АК-1180 фасадная 
</t>
    </r>
    <r>
      <rPr>
        <b/>
        <i/>
        <sz val="16"/>
        <rFont val="Arial"/>
        <family val="2"/>
      </rPr>
      <t xml:space="preserve">белая </t>
    </r>
  </si>
  <si>
    <t>15.11.2005.</t>
  </si>
  <si>
    <t>Dowanol DPM</t>
  </si>
  <si>
    <t>Acronal A-290</t>
  </si>
  <si>
    <t>DL-430</t>
  </si>
  <si>
    <t>22.11.2005.</t>
  </si>
  <si>
    <t>Параформ</t>
  </si>
  <si>
    <r>
      <t xml:space="preserve">Краска ВД-АК-2180 потолочная 
</t>
    </r>
    <r>
      <rPr>
        <b/>
        <i/>
        <sz val="16"/>
        <rFont val="Arial"/>
        <family val="2"/>
      </rPr>
      <t xml:space="preserve">белая </t>
    </r>
  </si>
  <si>
    <t>Диспергировать ~ 30 мин. Далее добавить при выключеной фрезе:</t>
  </si>
  <si>
    <t>Промешать 25-30 мин. Замерить вязкость  При необходимости довести вязкость водой.</t>
  </si>
  <si>
    <t>Окончательное перемешивание 30-35 мин.</t>
  </si>
  <si>
    <t>11.03.2005.</t>
  </si>
  <si>
    <t>28.02.2006.</t>
  </si>
  <si>
    <t>Гуркал-3</t>
  </si>
  <si>
    <t xml:space="preserve">Aqyaflow NHS-300 </t>
  </si>
  <si>
    <t>Aquaflow NHS-300</t>
  </si>
  <si>
    <t>10.05.2006.</t>
  </si>
  <si>
    <t>Растекание, балл</t>
  </si>
  <si>
    <t>4</t>
  </si>
  <si>
    <t>27.07.2006.</t>
  </si>
  <si>
    <t>Aquaflow NHS-210</t>
  </si>
  <si>
    <t xml:space="preserve">Aqyaflow NLS-210 </t>
  </si>
  <si>
    <t>28.07.2006.</t>
  </si>
  <si>
    <t>Двуокись титана R-218</t>
  </si>
  <si>
    <t>8.09.06.</t>
  </si>
  <si>
    <t>Пеногаситель Contrapen PR-194</t>
  </si>
  <si>
    <t>пеногаситель Contrapen PR-194</t>
  </si>
  <si>
    <t>пеногаситель Contrapen 194</t>
  </si>
  <si>
    <t>Пеногаситель Contrapen194</t>
  </si>
  <si>
    <t>Polycol  WP-20B</t>
  </si>
  <si>
    <t>V-271</t>
  </si>
  <si>
    <t>Omyacarb 2-UR</t>
  </si>
  <si>
    <r>
      <t xml:space="preserve">Краска ВД-АК-2180 для внутренних работ 
</t>
    </r>
    <r>
      <rPr>
        <b/>
        <i/>
        <sz val="16"/>
        <rFont val="Arial"/>
        <family val="2"/>
      </rPr>
      <t>белая (опытная)</t>
    </r>
  </si>
  <si>
    <t>Natrosol 250 HHBR</t>
  </si>
  <si>
    <t>Omyacarb 5UR</t>
  </si>
  <si>
    <t>Omyacarb 5-UR</t>
  </si>
  <si>
    <t>13.02.07.</t>
  </si>
  <si>
    <t>Lomon  R996</t>
  </si>
  <si>
    <t>21.03.07.</t>
  </si>
  <si>
    <t>Polycol  WP-20  spezial</t>
  </si>
  <si>
    <t xml:space="preserve"> Окончательное перемешивание 10-15 мин.</t>
  </si>
  <si>
    <t>Загуститель предварительно</t>
  </si>
  <si>
    <t>развести в воде.</t>
  </si>
  <si>
    <t>25.05.07.</t>
  </si>
  <si>
    <t>5.06.07.</t>
  </si>
  <si>
    <t>14.06.07.</t>
  </si>
  <si>
    <r>
      <t xml:space="preserve">Краска ВД-АК-2180 потолочная 
</t>
    </r>
    <r>
      <rPr>
        <b/>
        <i/>
        <sz val="16"/>
        <rFont val="Arial"/>
        <family val="2"/>
      </rPr>
      <t xml:space="preserve">белоснежная </t>
    </r>
  </si>
  <si>
    <t>Акрилан 101</t>
  </si>
  <si>
    <t>Hiidis 40</t>
  </si>
  <si>
    <t>пеногаситель CF-49</t>
  </si>
  <si>
    <t>BLR-699</t>
  </si>
  <si>
    <t>Микрокальцит КМ-2</t>
  </si>
  <si>
    <t>Микрокальцит КМ-5</t>
  </si>
  <si>
    <t>Тарный консервант</t>
  </si>
  <si>
    <t>Ucar-IBT</t>
  </si>
  <si>
    <t>0.600</t>
  </si>
  <si>
    <t>1.000</t>
  </si>
  <si>
    <t>0.150</t>
  </si>
  <si>
    <t>0.050</t>
  </si>
  <si>
    <t>0.500</t>
  </si>
  <si>
    <t>40.000</t>
  </si>
  <si>
    <t>15.000</t>
  </si>
  <si>
    <t>38.300</t>
  </si>
  <si>
    <t>0.200</t>
  </si>
  <si>
    <t>3.100</t>
  </si>
  <si>
    <t xml:space="preserve">                                                      Перемешивать 5 мин на 1500 об/мин</t>
  </si>
  <si>
    <t xml:space="preserve">                                                               Перемешивать 2 мин на 1500 об/мин</t>
  </si>
  <si>
    <t xml:space="preserve">                                                     Перемешивать 30 мин на 1500 об/мин</t>
  </si>
  <si>
    <t xml:space="preserve">                                          Перемешивать 8 мин на 1500 об/мин   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</si>
</sst>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\ mmmm\,\ yyyy"/>
    <numFmt numFmtId="174" formatCode="dd/mm/yy\ h:mm\ AM/PM"/>
    <numFmt numFmtId="175" formatCode="d/m"/>
    <numFmt numFmtId="176" formatCode="0.000"/>
    <numFmt numFmtId="177" formatCode="[$-FC19]d\ mmmm\ yyyy\ &quot;г.&quot;"/>
    <numFmt numFmtId="178" formatCode="[$-F800]dddd\,\ mmmm\ dd\,\ yyyy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d\ mmm\ yy"/>
    <numFmt numFmtId="188" formatCode="#,##0.0&quot;р.&quot;"/>
    <numFmt numFmtId="189" formatCode="#,##0.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0"/>
    <numFmt numFmtId="195" formatCode="dd/mm/yy;@"/>
    <numFmt numFmtId="196" formatCode="0.000000"/>
    <numFmt numFmtId="197" formatCode="0.0000"/>
  </numFmts>
  <fonts count="6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11"/>
      <name val="Arial Narrow"/>
      <family val="2"/>
    </font>
    <font>
      <b/>
      <sz val="16"/>
      <color indexed="12"/>
      <name val="Arial Cyr"/>
      <family val="2"/>
    </font>
    <font>
      <sz val="10"/>
      <color indexed="12"/>
      <name val="Arial Cyr"/>
      <family val="2"/>
    </font>
    <font>
      <b/>
      <sz val="12"/>
      <color indexed="12"/>
      <name val="Arial Cyr"/>
      <family val="2"/>
    </font>
    <font>
      <b/>
      <i/>
      <sz val="12"/>
      <color indexed="12"/>
      <name val="Arial Cyr"/>
      <family val="2"/>
    </font>
    <font>
      <b/>
      <i/>
      <sz val="10"/>
      <color indexed="12"/>
      <name val="Arial Cyr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color indexed="12"/>
      <name val="Arial Cyr"/>
      <family val="0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i/>
      <sz val="12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Arial Cyr"/>
      <family val="0"/>
    </font>
    <font>
      <b/>
      <sz val="12"/>
      <name val="Arial"/>
      <family val="2"/>
    </font>
    <font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49" fontId="1" fillId="33" borderId="0" xfId="0" applyNumberFormat="1" applyFont="1" applyFill="1" applyBorder="1" applyAlignment="1">
      <alignment horizontal="left" vertical="center" indent="1"/>
    </xf>
    <xf numFmtId="0" fontId="4" fillId="0" borderId="15" xfId="0" applyFont="1" applyBorder="1" applyAlignment="1">
      <alignment horizontal="right" vertical="center"/>
    </xf>
    <xf numFmtId="172" fontId="4" fillId="0" borderId="15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left" vertical="center" indent="1"/>
      <protection/>
    </xf>
    <xf numFmtId="49" fontId="5" fillId="0" borderId="10" xfId="0" applyNumberFormat="1" applyFont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Border="1" applyAlignment="1" applyProtection="1">
      <alignment vertical="center"/>
      <protection/>
    </xf>
    <xf numFmtId="49" fontId="15" fillId="34" borderId="10" xfId="0" applyNumberFormat="1" applyFont="1" applyFill="1" applyBorder="1" applyAlignment="1" applyProtection="1">
      <alignment horizontal="left" vertical="center" indent="2"/>
      <protection locked="0"/>
    </xf>
    <xf numFmtId="2" fontId="0" fillId="0" borderId="0" xfId="0" applyNumberFormat="1" applyAlignment="1">
      <alignment vertical="center"/>
    </xf>
    <xf numFmtId="49" fontId="15" fillId="34" borderId="10" xfId="0" applyNumberFormat="1" applyFont="1" applyFill="1" applyBorder="1" applyAlignment="1" applyProtection="1">
      <alignment horizontal="left" vertical="center" indent="2"/>
      <protection/>
    </xf>
    <xf numFmtId="1" fontId="2" fillId="0" borderId="16" xfId="0" applyNumberFormat="1" applyFont="1" applyBorder="1" applyAlignment="1">
      <alignment horizontal="left" vertical="center" indent="1"/>
    </xf>
    <xf numFmtId="2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" fontId="2" fillId="0" borderId="17" xfId="0" applyNumberFormat="1" applyFont="1" applyBorder="1" applyAlignment="1">
      <alignment horizontal="left" vertical="center" indent="1"/>
    </xf>
    <xf numFmtId="2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" fontId="2" fillId="0" borderId="18" xfId="0" applyNumberFormat="1" applyFont="1" applyBorder="1" applyAlignment="1">
      <alignment horizontal="left" vertical="center" indent="1"/>
    </xf>
    <xf numFmtId="2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 indent="1"/>
    </xf>
    <xf numFmtId="2" fontId="2" fillId="0" borderId="16" xfId="0" applyNumberFormat="1" applyFont="1" applyBorder="1" applyAlignment="1">
      <alignment horizontal="left" vertical="center" indent="1"/>
    </xf>
    <xf numFmtId="2" fontId="2" fillId="0" borderId="18" xfId="0" applyNumberFormat="1" applyFont="1" applyBorder="1" applyAlignment="1">
      <alignment horizontal="left" vertical="center" indent="1"/>
    </xf>
    <xf numFmtId="2" fontId="2" fillId="0" borderId="17" xfId="0" applyNumberFormat="1" applyFont="1" applyBorder="1" applyAlignment="1">
      <alignment horizontal="left" vertical="center" indent="1"/>
    </xf>
    <xf numFmtId="0" fontId="1" fillId="0" borderId="18" xfId="0" applyFont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horizontal="left" vertical="center" indent="1"/>
      <protection/>
    </xf>
    <xf numFmtId="49" fontId="5" fillId="0" borderId="18" xfId="0" applyNumberFormat="1" applyFont="1" applyBorder="1" applyAlignment="1" applyProtection="1">
      <alignment horizontal="left" vertical="center" indent="1"/>
      <protection/>
    </xf>
    <xf numFmtId="49" fontId="5" fillId="0" borderId="18" xfId="0" applyNumberFormat="1" applyFont="1" applyBorder="1" applyAlignment="1" applyProtection="1">
      <alignment horizontal="left" vertical="center" wrapText="1" indent="1"/>
      <protection/>
    </xf>
    <xf numFmtId="49" fontId="5" fillId="0" borderId="17" xfId="0" applyNumberFormat="1" applyFont="1" applyBorder="1" applyAlignment="1" applyProtection="1">
      <alignment horizontal="left" vertical="center" wrapText="1" indent="1"/>
      <protection/>
    </xf>
    <xf numFmtId="0" fontId="11" fillId="33" borderId="0" xfId="0" applyFont="1" applyFill="1" applyAlignment="1">
      <alignment horizontal="left" vertical="center" wrapTex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 wrapText="1" indent="1"/>
    </xf>
    <xf numFmtId="1" fontId="2" fillId="0" borderId="19" xfId="0" applyNumberFormat="1" applyFont="1" applyBorder="1" applyAlignment="1">
      <alignment horizontal="left" vertical="center" indent="1"/>
    </xf>
    <xf numFmtId="2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1" fillId="34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" fillId="0" borderId="18" xfId="53" applyNumberFormat="1" applyFont="1" applyBorder="1" applyAlignment="1">
      <alignment horizontal="left" vertical="center" indent="1"/>
      <protection/>
    </xf>
    <xf numFmtId="1" fontId="2" fillId="0" borderId="17" xfId="53" applyNumberFormat="1" applyFont="1" applyBorder="1" applyAlignment="1">
      <alignment horizontal="left" vertical="center" indent="1"/>
      <protection/>
    </xf>
    <xf numFmtId="1" fontId="2" fillId="0" borderId="16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54" applyAlignment="1">
      <alignment vertical="center"/>
      <protection/>
    </xf>
    <xf numFmtId="0" fontId="1" fillId="0" borderId="11" xfId="54" applyFont="1" applyBorder="1" applyAlignment="1">
      <alignment horizontal="left" vertical="center" indent="1"/>
      <protection/>
    </xf>
    <xf numFmtId="0" fontId="1" fillId="0" borderId="12" xfId="54" applyFont="1" applyBorder="1" applyAlignment="1">
      <alignment horizontal="right" vertical="center"/>
      <protection/>
    </xf>
    <xf numFmtId="0" fontId="1" fillId="0" borderId="14" xfId="54" applyFont="1" applyBorder="1" applyAlignment="1" applyProtection="1">
      <alignment horizontal="left" vertical="center"/>
      <protection locked="0"/>
    </xf>
    <xf numFmtId="0" fontId="1" fillId="35" borderId="0" xfId="54" applyFont="1" applyFill="1" applyAlignment="1">
      <alignment horizontal="left" vertical="center" indent="1"/>
      <protection/>
    </xf>
    <xf numFmtId="0" fontId="1" fillId="0" borderId="13" xfId="54" applyFont="1" applyBorder="1" applyAlignment="1">
      <alignment horizontal="center" vertical="center" wrapText="1"/>
      <protection/>
    </xf>
    <xf numFmtId="1" fontId="2" fillId="0" borderId="16" xfId="54" applyNumberFormat="1" applyFont="1" applyBorder="1" applyAlignment="1">
      <alignment horizontal="left" vertical="center" indent="1"/>
      <protection/>
    </xf>
    <xf numFmtId="2" fontId="2" fillId="0" borderId="16" xfId="54" applyNumberFormat="1" applyFont="1" applyBorder="1" applyAlignment="1">
      <alignment horizontal="center" vertical="center"/>
      <protection/>
    </xf>
    <xf numFmtId="0" fontId="2" fillId="0" borderId="16" xfId="54" applyFont="1" applyBorder="1" applyAlignment="1">
      <alignment vertical="center"/>
      <protection/>
    </xf>
    <xf numFmtId="1" fontId="2" fillId="0" borderId="17" xfId="54" applyNumberFormat="1" applyFont="1" applyBorder="1" applyAlignment="1">
      <alignment horizontal="left" vertical="center" indent="1"/>
      <protection/>
    </xf>
    <xf numFmtId="176" fontId="2" fillId="0" borderId="17" xfId="54" applyNumberFormat="1" applyFont="1" applyBorder="1" applyAlignment="1">
      <alignment horizontal="center" vertical="center"/>
      <protection/>
    </xf>
    <xf numFmtId="0" fontId="2" fillId="0" borderId="17" xfId="54" applyFont="1" applyBorder="1" applyAlignment="1">
      <alignment vertical="center"/>
      <protection/>
    </xf>
    <xf numFmtId="1" fontId="2" fillId="0" borderId="18" xfId="54" applyNumberFormat="1" applyFont="1" applyBorder="1" applyAlignment="1">
      <alignment horizontal="left" vertical="center" indent="1"/>
      <protection/>
    </xf>
    <xf numFmtId="2" fontId="2" fillId="0" borderId="18" xfId="54" applyNumberFormat="1" applyFont="1" applyBorder="1" applyAlignment="1">
      <alignment horizontal="center" vertical="center"/>
      <protection/>
    </xf>
    <xf numFmtId="0" fontId="2" fillId="0" borderId="18" xfId="54" applyFont="1" applyBorder="1" applyAlignment="1">
      <alignment vertical="center"/>
      <protection/>
    </xf>
    <xf numFmtId="0" fontId="2" fillId="35" borderId="18" xfId="54" applyFont="1" applyFill="1" applyBorder="1" applyAlignment="1">
      <alignment vertical="center"/>
      <protection/>
    </xf>
    <xf numFmtId="176" fontId="2" fillId="0" borderId="18" xfId="54" applyNumberFormat="1" applyFont="1" applyBorder="1" applyAlignment="1">
      <alignment horizontal="center" vertical="center"/>
      <protection/>
    </xf>
    <xf numFmtId="1" fontId="2" fillId="0" borderId="19" xfId="54" applyNumberFormat="1" applyFont="1" applyBorder="1" applyAlignment="1">
      <alignment horizontal="left" vertical="center" indent="1"/>
      <protection/>
    </xf>
    <xf numFmtId="2" fontId="2" fillId="0" borderId="19" xfId="54" applyNumberFormat="1" applyFont="1" applyBorder="1" applyAlignment="1">
      <alignment horizontal="center" vertical="center"/>
      <protection/>
    </xf>
    <xf numFmtId="0" fontId="2" fillId="0" borderId="19" xfId="54" applyFont="1" applyBorder="1" applyAlignment="1">
      <alignment vertical="center"/>
      <protection/>
    </xf>
    <xf numFmtId="1" fontId="2" fillId="0" borderId="16" xfId="54" applyNumberFormat="1" applyFont="1" applyBorder="1" applyAlignment="1">
      <alignment vertical="center"/>
      <protection/>
    </xf>
    <xf numFmtId="0" fontId="1" fillId="0" borderId="16" xfId="54" applyFont="1" applyBorder="1" applyAlignment="1">
      <alignment horizontal="center" vertical="center"/>
      <protection/>
    </xf>
    <xf numFmtId="2" fontId="2" fillId="0" borderId="17" xfId="54" applyNumberFormat="1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/>
      <protection/>
    </xf>
    <xf numFmtId="2" fontId="2" fillId="0" borderId="10" xfId="54" applyNumberFormat="1" applyFont="1" applyBorder="1" applyAlignment="1">
      <alignment horizontal="center" vertical="center"/>
      <protection/>
    </xf>
    <xf numFmtId="0" fontId="2" fillId="0" borderId="10" xfId="54" applyFont="1" applyBorder="1" applyAlignment="1">
      <alignment vertical="center"/>
      <protection/>
    </xf>
    <xf numFmtId="0" fontId="4" fillId="0" borderId="15" xfId="54" applyFont="1" applyBorder="1" applyAlignment="1">
      <alignment horizontal="right" vertical="center"/>
      <protection/>
    </xf>
    <xf numFmtId="172" fontId="4" fillId="0" borderId="15" xfId="54" applyNumberFormat="1" applyFont="1" applyBorder="1" applyAlignment="1">
      <alignment horizontal="left" vertical="center"/>
      <protection/>
    </xf>
    <xf numFmtId="0" fontId="2" fillId="0" borderId="15" xfId="54" applyFont="1" applyBorder="1" applyAlignment="1">
      <alignment vertical="center"/>
      <protection/>
    </xf>
    <xf numFmtId="0" fontId="1" fillId="0" borderId="0" xfId="54" applyFont="1" applyAlignment="1" applyProtection="1">
      <alignment horizontal="left" vertical="center"/>
      <protection/>
    </xf>
    <xf numFmtId="0" fontId="0" fillId="0" borderId="0" xfId="54" applyAlignment="1" applyProtection="1">
      <alignment vertical="center"/>
      <protection/>
    </xf>
    <xf numFmtId="0" fontId="1" fillId="0" borderId="10" xfId="54" applyFont="1" applyBorder="1" applyAlignment="1" applyProtection="1">
      <alignment horizontal="center" vertical="center" wrapText="1"/>
      <protection/>
    </xf>
    <xf numFmtId="0" fontId="2" fillId="0" borderId="0" xfId="54" applyFont="1" applyBorder="1" applyAlignment="1" applyProtection="1">
      <alignment vertical="center"/>
      <protection/>
    </xf>
    <xf numFmtId="0" fontId="2" fillId="0" borderId="0" xfId="54" applyFont="1" applyAlignment="1" applyProtection="1">
      <alignment vertical="center"/>
      <protection/>
    </xf>
    <xf numFmtId="49" fontId="5" fillId="0" borderId="10" xfId="54" applyNumberFormat="1" applyFont="1" applyBorder="1" applyAlignment="1" applyProtection="1">
      <alignment horizontal="left" vertical="center" indent="1"/>
      <protection/>
    </xf>
    <xf numFmtId="49" fontId="5" fillId="0" borderId="10" xfId="54" applyNumberFormat="1" applyFont="1" applyBorder="1" applyAlignment="1" applyProtection="1">
      <alignment horizontal="left" vertical="center" wrapText="1" indent="1"/>
      <protection/>
    </xf>
    <xf numFmtId="0" fontId="2" fillId="0" borderId="0" xfId="54" applyFont="1" applyAlignment="1" applyProtection="1">
      <alignment/>
      <protection/>
    </xf>
    <xf numFmtId="0" fontId="0" fillId="0" borderId="0" xfId="54" applyAlignment="1" applyProtection="1">
      <alignment horizontal="right"/>
      <protection/>
    </xf>
    <xf numFmtId="14" fontId="0" fillId="0" borderId="0" xfId="54" applyNumberFormat="1" applyFont="1" applyAlignment="1" applyProtection="1">
      <alignment horizontal="left"/>
      <protection/>
    </xf>
    <xf numFmtId="0" fontId="0" fillId="0" borderId="0" xfId="54" applyBorder="1" applyAlignment="1" applyProtection="1">
      <alignment vertical="center"/>
      <protection/>
    </xf>
    <xf numFmtId="0" fontId="1" fillId="0" borderId="0" xfId="54" applyFont="1" applyAlignment="1">
      <alignment horizontal="left" vertical="center" indent="1"/>
      <protection/>
    </xf>
    <xf numFmtId="0" fontId="0" fillId="0" borderId="0" xfId="54" applyFont="1" applyAlignment="1">
      <alignment vertical="center"/>
      <protection/>
    </xf>
    <xf numFmtId="0" fontId="2" fillId="35" borderId="17" xfId="54" applyFont="1" applyFill="1" applyBorder="1" applyAlignment="1">
      <alignment vertical="center"/>
      <protection/>
    </xf>
    <xf numFmtId="2" fontId="15" fillId="35" borderId="10" xfId="54" applyNumberFormat="1" applyFont="1" applyFill="1" applyBorder="1" applyAlignment="1" applyProtection="1">
      <alignment horizontal="left" vertical="center" indent="2"/>
      <protection locked="0"/>
    </xf>
    <xf numFmtId="49" fontId="25" fillId="35" borderId="10" xfId="0" applyNumberFormat="1" applyFont="1" applyFill="1" applyBorder="1" applyAlignment="1" applyProtection="1">
      <alignment horizontal="left" vertical="center" indent="2"/>
      <protection locked="0"/>
    </xf>
    <xf numFmtId="0" fontId="1" fillId="0" borderId="15" xfId="54" applyFont="1" applyBorder="1" applyAlignment="1">
      <alignment horizontal="left" vertical="center" indent="1"/>
      <protection/>
    </xf>
    <xf numFmtId="0" fontId="0" fillId="0" borderId="0" xfId="54" applyBorder="1" applyAlignment="1">
      <alignment vertical="center"/>
      <protection/>
    </xf>
    <xf numFmtId="49" fontId="2" fillId="0" borderId="0" xfId="54" applyNumberFormat="1" applyFont="1" applyBorder="1" applyAlignment="1">
      <alignment vertical="center"/>
      <protection/>
    </xf>
    <xf numFmtId="172" fontId="2" fillId="0" borderId="0" xfId="54" applyNumberFormat="1" applyFont="1" applyBorder="1" applyAlignment="1">
      <alignment horizontal="center"/>
      <protection/>
    </xf>
    <xf numFmtId="172" fontId="2" fillId="34" borderId="0" xfId="54" applyNumberFormat="1" applyFont="1" applyFill="1" applyBorder="1" applyAlignment="1">
      <alignment horizontal="center"/>
      <protection/>
    </xf>
    <xf numFmtId="1" fontId="2" fillId="0" borderId="18" xfId="54" applyNumberFormat="1" applyFont="1" applyBorder="1" applyAlignment="1">
      <alignment vertical="center"/>
      <protection/>
    </xf>
    <xf numFmtId="2" fontId="2" fillId="0" borderId="20" xfId="54" applyNumberFormat="1" applyFont="1" applyBorder="1" applyAlignment="1">
      <alignment horizontal="center" vertical="center"/>
      <protection/>
    </xf>
    <xf numFmtId="0" fontId="2" fillId="0" borderId="20" xfId="54" applyFont="1" applyBorder="1" applyAlignment="1">
      <alignment vertical="center"/>
      <protection/>
    </xf>
    <xf numFmtId="1" fontId="2" fillId="35" borderId="17" xfId="54" applyNumberFormat="1" applyFont="1" applyFill="1" applyBorder="1" applyAlignment="1">
      <alignment horizontal="left" vertical="center" indent="1"/>
      <protection/>
    </xf>
    <xf numFmtId="2" fontId="2" fillId="35" borderId="17" xfId="54" applyNumberFormat="1" applyFont="1" applyFill="1" applyBorder="1" applyAlignment="1">
      <alignment horizontal="center" vertical="center"/>
      <protection/>
    </xf>
    <xf numFmtId="14" fontId="0" fillId="0" borderId="0" xfId="54" applyNumberFormat="1" applyAlignment="1" applyProtection="1">
      <alignment horizontal="left"/>
      <protection/>
    </xf>
    <xf numFmtId="0" fontId="19" fillId="33" borderId="0" xfId="0" applyFont="1" applyFill="1" applyAlignment="1">
      <alignment horizontal="center"/>
    </xf>
    <xf numFmtId="49" fontId="2" fillId="0" borderId="11" xfId="54" applyNumberFormat="1" applyFont="1" applyBorder="1" applyAlignment="1" applyProtection="1">
      <alignment horizontal="center" vertical="center"/>
      <protection/>
    </xf>
    <xf numFmtId="49" fontId="2" fillId="0" borderId="14" xfId="54" applyNumberFormat="1" applyFont="1" applyBorder="1" applyAlignment="1" applyProtection="1">
      <alignment horizontal="center" vertical="center"/>
      <protection/>
    </xf>
    <xf numFmtId="2" fontId="15" fillId="35" borderId="19" xfId="54" applyNumberFormat="1" applyFont="1" applyFill="1" applyBorder="1" applyAlignment="1" applyProtection="1">
      <alignment horizontal="left" vertical="center" indent="2"/>
      <protection locked="0"/>
    </xf>
    <xf numFmtId="0" fontId="1" fillId="0" borderId="20" xfId="54" applyFont="1" applyBorder="1" applyAlignment="1">
      <alignment horizontal="center" vertical="center"/>
      <protection/>
    </xf>
    <xf numFmtId="0" fontId="19" fillId="0" borderId="15" xfId="54" applyFont="1" applyBorder="1" applyAlignment="1">
      <alignment vertical="center"/>
      <protection/>
    </xf>
    <xf numFmtId="0" fontId="19" fillId="0" borderId="21" xfId="54" applyFont="1" applyBorder="1" applyAlignment="1">
      <alignment vertical="center"/>
      <protection/>
    </xf>
    <xf numFmtId="0" fontId="2" fillId="0" borderId="22" xfId="54" applyFont="1" applyBorder="1" applyAlignment="1">
      <alignment vertical="center"/>
      <protection/>
    </xf>
    <xf numFmtId="0" fontId="2" fillId="0" borderId="23" xfId="54" applyFont="1" applyBorder="1" applyAlignment="1">
      <alignment vertical="center"/>
      <protection/>
    </xf>
    <xf numFmtId="0" fontId="2" fillId="0" borderId="24" xfId="54" applyFont="1" applyBorder="1" applyAlignment="1">
      <alignment vertical="center"/>
      <protection/>
    </xf>
    <xf numFmtId="1" fontId="2" fillId="0" borderId="20" xfId="54" applyNumberFormat="1" applyFont="1" applyBorder="1" applyAlignment="1">
      <alignment horizontal="left" vertical="center" indent="1"/>
      <protection/>
    </xf>
    <xf numFmtId="2" fontId="2" fillId="0" borderId="25" xfId="54" applyNumberFormat="1" applyFont="1" applyBorder="1" applyAlignment="1">
      <alignment horizontal="center" vertical="center"/>
      <protection/>
    </xf>
    <xf numFmtId="2" fontId="2" fillId="0" borderId="26" xfId="54" applyNumberFormat="1" applyFont="1" applyBorder="1" applyAlignment="1">
      <alignment horizontal="center" vertical="center"/>
      <protection/>
    </xf>
    <xf numFmtId="0" fontId="19" fillId="0" borderId="18" xfId="54" applyFont="1" applyBorder="1" applyAlignment="1">
      <alignment vertical="center"/>
      <protection/>
    </xf>
    <xf numFmtId="0" fontId="19" fillId="0" borderId="16" xfId="54" applyFont="1" applyBorder="1" applyAlignment="1">
      <alignment vertical="center"/>
      <protection/>
    </xf>
    <xf numFmtId="2" fontId="15" fillId="35" borderId="16" xfId="54" applyNumberFormat="1" applyFont="1" applyFill="1" applyBorder="1" applyAlignment="1" applyProtection="1">
      <alignment horizontal="left" vertical="center" indent="2"/>
      <protection locked="0"/>
    </xf>
    <xf numFmtId="2" fontId="2" fillId="0" borderId="27" xfId="54" applyNumberFormat="1" applyFont="1" applyBorder="1" applyAlignment="1">
      <alignment horizontal="center" vertical="center"/>
      <protection/>
    </xf>
    <xf numFmtId="1" fontId="27" fillId="0" borderId="18" xfId="54" applyNumberFormat="1" applyFont="1" applyBorder="1" applyAlignment="1">
      <alignment horizontal="left" vertical="center" indent="1"/>
      <protection/>
    </xf>
    <xf numFmtId="0" fontId="19" fillId="0" borderId="10" xfId="54" applyFont="1" applyBorder="1" applyAlignment="1">
      <alignment vertical="center"/>
      <protection/>
    </xf>
    <xf numFmtId="0" fontId="19" fillId="0" borderId="10" xfId="0" applyFont="1" applyBorder="1" applyAlignment="1">
      <alignment vertical="center"/>
    </xf>
    <xf numFmtId="0" fontId="1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 wrapText="1" indent="2"/>
    </xf>
    <xf numFmtId="0" fontId="11" fillId="33" borderId="0" xfId="0" applyFont="1" applyFill="1" applyAlignment="1">
      <alignment horizontal="left" vertical="center" indent="2"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3"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30" xfId="0" applyNumberFormat="1" applyFont="1" applyBorder="1" applyAlignment="1" applyProtection="1">
      <alignment horizontal="center" vertical="center"/>
      <protection/>
    </xf>
    <xf numFmtId="49" fontId="2" fillId="0" borderId="31" xfId="0" applyNumberFormat="1" applyFont="1" applyBorder="1" applyAlignment="1" applyProtection="1">
      <alignment horizontal="center" vertical="center"/>
      <protection/>
    </xf>
    <xf numFmtId="49" fontId="2" fillId="0" borderId="32" xfId="0" applyNumberFormat="1" applyFont="1" applyBorder="1" applyAlignment="1" applyProtection="1">
      <alignment horizontal="center" vertical="center"/>
      <protection/>
    </xf>
    <xf numFmtId="0" fontId="12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indent="1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1" fillId="0" borderId="14" xfId="0" applyFont="1" applyBorder="1" applyAlignment="1" applyProtection="1">
      <alignment horizontal="left" vertical="center" indent="1"/>
      <protection locked="0"/>
    </xf>
    <xf numFmtId="0" fontId="1" fillId="0" borderId="2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left" vertical="center" indent="3"/>
    </xf>
    <xf numFmtId="0" fontId="3" fillId="0" borderId="12" xfId="0" applyFont="1" applyBorder="1" applyAlignment="1">
      <alignment horizontal="left" vertical="center" indent="3"/>
    </xf>
    <xf numFmtId="0" fontId="3" fillId="0" borderId="14" xfId="0" applyFont="1" applyBorder="1" applyAlignment="1">
      <alignment horizontal="left" vertical="center" indent="3"/>
    </xf>
    <xf numFmtId="0" fontId="3" fillId="0" borderId="11" xfId="0" applyFont="1" applyBorder="1" applyAlignment="1">
      <alignment horizontal="left" vertical="center" wrapText="1" indent="3"/>
    </xf>
    <xf numFmtId="178" fontId="1" fillId="0" borderId="12" xfId="0" applyNumberFormat="1" applyFont="1" applyBorder="1" applyAlignment="1">
      <alignment horizontal="left" vertical="center"/>
    </xf>
    <xf numFmtId="178" fontId="1" fillId="0" borderId="14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31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49" fontId="5" fillId="0" borderId="32" xfId="0" applyNumberFormat="1" applyFont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0" fontId="13" fillId="0" borderId="23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1" xfId="0" applyFont="1" applyBorder="1" applyAlignment="1">
      <alignment horizontal="left" vertical="center" indent="3"/>
    </xf>
    <xf numFmtId="0" fontId="19" fillId="0" borderId="12" xfId="0" applyFont="1" applyBorder="1" applyAlignment="1">
      <alignment horizontal="left" vertical="center" indent="3"/>
    </xf>
    <xf numFmtId="0" fontId="19" fillId="0" borderId="14" xfId="0" applyFont="1" applyBorder="1" applyAlignment="1">
      <alignment horizontal="left" vertical="center" indent="3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/>
    </xf>
    <xf numFmtId="0" fontId="19" fillId="0" borderId="14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0" fontId="20" fillId="0" borderId="11" xfId="0" applyFont="1" applyBorder="1" applyAlignment="1">
      <alignment horizontal="left" vertical="center" wrapText="1" indent="3"/>
    </xf>
    <xf numFmtId="0" fontId="20" fillId="0" borderId="12" xfId="0" applyFont="1" applyBorder="1" applyAlignment="1">
      <alignment horizontal="left" vertical="center" indent="3"/>
    </xf>
    <xf numFmtId="0" fontId="20" fillId="0" borderId="14" xfId="0" applyFont="1" applyBorder="1" applyAlignment="1">
      <alignment horizontal="left" vertical="center" indent="3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" fillId="0" borderId="12" xfId="54" applyFont="1" applyBorder="1" applyAlignment="1">
      <alignment horizontal="left" vertical="center"/>
      <protection/>
    </xf>
    <xf numFmtId="0" fontId="1" fillId="0" borderId="0" xfId="54" applyFont="1" applyAlignment="1" applyProtection="1">
      <alignment horizontal="center"/>
      <protection/>
    </xf>
    <xf numFmtId="49" fontId="6" fillId="0" borderId="11" xfId="54" applyNumberFormat="1" applyFont="1" applyBorder="1" applyAlignment="1" applyProtection="1">
      <alignment horizontal="center" vertical="center"/>
      <protection/>
    </xf>
    <xf numFmtId="49" fontId="2" fillId="0" borderId="14" xfId="54" applyNumberFormat="1" applyFont="1" applyBorder="1" applyAlignment="1" applyProtection="1">
      <alignment horizontal="center" vertical="center"/>
      <protection/>
    </xf>
    <xf numFmtId="49" fontId="5" fillId="0" borderId="11" xfId="54" applyNumberFormat="1" applyFont="1" applyBorder="1" applyAlignment="1" applyProtection="1">
      <alignment horizontal="center" vertical="center"/>
      <protection/>
    </xf>
    <xf numFmtId="49" fontId="5" fillId="0" borderId="14" xfId="54" applyNumberFormat="1" applyFont="1" applyBorder="1" applyAlignment="1" applyProtection="1">
      <alignment horizontal="center" vertical="center"/>
      <protection/>
    </xf>
    <xf numFmtId="0" fontId="19" fillId="0" borderId="11" xfId="54" applyFont="1" applyBorder="1" applyAlignment="1">
      <alignment horizontal="left" vertical="center" indent="3"/>
      <protection/>
    </xf>
    <xf numFmtId="0" fontId="19" fillId="0" borderId="12" xfId="54" applyFont="1" applyBorder="1" applyAlignment="1">
      <alignment horizontal="left" vertical="center" indent="3"/>
      <protection/>
    </xf>
    <xf numFmtId="0" fontId="19" fillId="0" borderId="14" xfId="54" applyFont="1" applyBorder="1" applyAlignment="1">
      <alignment horizontal="left" vertical="center" indent="3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3" fillId="0" borderId="23" xfId="54" applyFont="1" applyBorder="1" applyAlignment="1">
      <alignment horizontal="center" vertical="center"/>
      <protection/>
    </xf>
    <xf numFmtId="0" fontId="1" fillId="0" borderId="11" xfId="54" applyFont="1" applyBorder="1" applyAlignment="1" applyProtection="1">
      <alignment horizontal="center" vertical="center" wrapText="1"/>
      <protection/>
    </xf>
    <xf numFmtId="0" fontId="1" fillId="0" borderId="14" xfId="54" applyFont="1" applyBorder="1" applyAlignment="1" applyProtection="1">
      <alignment horizontal="center" vertical="center"/>
      <protection/>
    </xf>
    <xf numFmtId="0" fontId="1" fillId="0" borderId="23" xfId="54" applyFont="1" applyBorder="1" applyAlignment="1" applyProtection="1">
      <alignment horizontal="center" vertical="center"/>
      <protection/>
    </xf>
    <xf numFmtId="0" fontId="19" fillId="0" borderId="11" xfId="54" applyFont="1" applyBorder="1" applyAlignment="1">
      <alignment vertical="center"/>
      <protection/>
    </xf>
    <xf numFmtId="0" fontId="19" fillId="0" borderId="12" xfId="54" applyFont="1" applyBorder="1" applyAlignment="1">
      <alignment vertical="center"/>
      <protection/>
    </xf>
    <xf numFmtId="0" fontId="19" fillId="0" borderId="14" xfId="54" applyFont="1" applyBorder="1" applyAlignment="1">
      <alignment vertical="center"/>
      <protection/>
    </xf>
    <xf numFmtId="0" fontId="19" fillId="0" borderId="11" xfId="54" applyFont="1" applyBorder="1" applyAlignment="1">
      <alignment wrapText="1"/>
      <protection/>
    </xf>
    <xf numFmtId="0" fontId="19" fillId="0" borderId="12" xfId="54" applyFont="1" applyBorder="1" applyAlignment="1">
      <alignment/>
      <protection/>
    </xf>
    <xf numFmtId="0" fontId="19" fillId="0" borderId="14" xfId="54" applyFont="1" applyBorder="1" applyAlignment="1">
      <alignment/>
      <protection/>
    </xf>
    <xf numFmtId="0" fontId="1" fillId="0" borderId="11" xfId="54" applyFont="1" applyBorder="1" applyAlignment="1" applyProtection="1">
      <alignment horizontal="left" vertical="center" indent="1"/>
      <protection locked="0"/>
    </xf>
    <xf numFmtId="0" fontId="1" fillId="0" borderId="12" xfId="54" applyFont="1" applyBorder="1" applyAlignment="1" applyProtection="1">
      <alignment horizontal="left" vertical="center" indent="1"/>
      <protection locked="0"/>
    </xf>
    <xf numFmtId="0" fontId="1" fillId="0" borderId="14" xfId="54" applyFont="1" applyBorder="1" applyAlignment="1" applyProtection="1">
      <alignment horizontal="left" vertical="center" indent="1"/>
      <protection locked="0"/>
    </xf>
    <xf numFmtId="178" fontId="1" fillId="0" borderId="12" xfId="54" applyNumberFormat="1" applyFont="1" applyBorder="1" applyAlignment="1">
      <alignment horizontal="left" vertical="center"/>
      <protection/>
    </xf>
    <xf numFmtId="178" fontId="1" fillId="0" borderId="14" xfId="54" applyNumberFormat="1" applyFont="1" applyBorder="1" applyAlignment="1">
      <alignment horizontal="left" vertical="center"/>
      <protection/>
    </xf>
    <xf numFmtId="0" fontId="1" fillId="0" borderId="0" xfId="54" applyFont="1" applyBorder="1" applyAlignment="1">
      <alignment horizontal="left" vertical="center" indent="3"/>
      <protection/>
    </xf>
    <xf numFmtId="0" fontId="2" fillId="0" borderId="33" xfId="54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2" fillId="0" borderId="34" xfId="54" applyFont="1" applyBorder="1" applyAlignment="1">
      <alignment horizontal="center" vertical="center" wrapText="1"/>
      <protection/>
    </xf>
    <xf numFmtId="0" fontId="2" fillId="0" borderId="23" xfId="54" applyFont="1" applyBorder="1" applyAlignment="1">
      <alignment horizontal="center" vertical="center" wrapText="1"/>
      <protection/>
    </xf>
    <xf numFmtId="0" fontId="2" fillId="0" borderId="24" xfId="54" applyFont="1" applyBorder="1" applyAlignment="1">
      <alignment horizontal="center" vertical="center" wrapText="1"/>
      <protection/>
    </xf>
    <xf numFmtId="49" fontId="2" fillId="0" borderId="11" xfId="54" applyNumberFormat="1" applyFont="1" applyBorder="1" applyAlignment="1" applyProtection="1">
      <alignment horizontal="center" vertical="center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2" fillId="0" borderId="33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0" fontId="2" fillId="0" borderId="21" xfId="54" applyFont="1" applyBorder="1" applyAlignment="1">
      <alignment horizontal="center" vertical="center"/>
      <protection/>
    </xf>
    <xf numFmtId="0" fontId="2" fillId="0" borderId="34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 vertical="center"/>
      <protection/>
    </xf>
    <xf numFmtId="0" fontId="2" fillId="0" borderId="24" xfId="54" applyFont="1" applyBorder="1" applyAlignment="1">
      <alignment horizontal="center" vertical="center"/>
      <protection/>
    </xf>
    <xf numFmtId="0" fontId="19" fillId="0" borderId="15" xfId="54" applyFont="1" applyBorder="1" applyAlignment="1">
      <alignment horizontal="left" vertical="center" indent="3"/>
      <protection/>
    </xf>
    <xf numFmtId="0" fontId="19" fillId="0" borderId="21" xfId="54" applyFont="1" applyBorder="1" applyAlignment="1">
      <alignment horizontal="left" vertical="center" indent="3"/>
      <protection/>
    </xf>
    <xf numFmtId="173" fontId="1" fillId="0" borderId="12" xfId="54" applyNumberFormat="1" applyFont="1" applyBorder="1" applyAlignment="1">
      <alignment horizontal="left" vertical="center"/>
      <protection/>
    </xf>
    <xf numFmtId="173" fontId="1" fillId="0" borderId="14" xfId="54" applyNumberFormat="1" applyFont="1" applyBorder="1" applyAlignment="1">
      <alignment horizontal="left" vertical="center"/>
      <protection/>
    </xf>
    <xf numFmtId="0" fontId="19" fillId="0" borderId="11" xfId="54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4" xfId="54" applyFont="1" applyBorder="1" applyAlignment="1">
      <alignment horizontal="left" vertical="center"/>
      <protection/>
    </xf>
    <xf numFmtId="1" fontId="1" fillId="0" borderId="11" xfId="54" applyNumberFormat="1" applyFont="1" applyBorder="1" applyAlignment="1">
      <alignment horizontal="left" vertical="center" wrapText="1" indent="1"/>
      <protection/>
    </xf>
    <xf numFmtId="1" fontId="2" fillId="0" borderId="12" xfId="54" applyNumberFormat="1" applyFont="1" applyBorder="1" applyAlignment="1">
      <alignment horizontal="left" vertical="center" wrapText="1" indent="1"/>
      <protection/>
    </xf>
    <xf numFmtId="1" fontId="2" fillId="0" borderId="14" xfId="54" applyNumberFormat="1" applyFont="1" applyBorder="1" applyAlignment="1">
      <alignment horizontal="left" vertical="center" wrapText="1" indent="1"/>
      <protection/>
    </xf>
    <xf numFmtId="0" fontId="26" fillId="0" borderId="0" xfId="54" applyFont="1" applyBorder="1" applyAlignment="1">
      <alignment vertical="center"/>
      <protection/>
    </xf>
    <xf numFmtId="0" fontId="2" fillId="0" borderId="0" xfId="54" applyFont="1" applyBorder="1" applyAlignment="1">
      <alignment vertical="center"/>
      <protection/>
    </xf>
    <xf numFmtId="0" fontId="1" fillId="0" borderId="0" xfId="54" applyFont="1" applyBorder="1" applyAlignment="1">
      <alignment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елые &amp; супербелые" xfId="53"/>
    <cellStyle name="Обычный_Белые и супербелые от24.02.05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externalLink" Target="externalLinks/externalLink2.xml" /><Relationship Id="rId53" Type="http://schemas.openxmlformats.org/officeDocument/2006/relationships/externalLink" Target="externalLinks/externalLink3.xml" /><Relationship Id="rId54" Type="http://schemas.openxmlformats.org/officeDocument/2006/relationships/externalLink" Target="externalLinks/externalLink4.xml" /><Relationship Id="rId55" Type="http://schemas.openxmlformats.org/officeDocument/2006/relationships/externalLink" Target="externalLinks/externalLink5.xml" /><Relationship Id="rId56" Type="http://schemas.openxmlformats.org/officeDocument/2006/relationships/externalLink" Target="externalLinks/externalLink6.xml" /><Relationship Id="rId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&#1056;&#1072;&#1073;&#1086;&#1095;&#1080;&#1081;%20&#1089;&#1090;&#1086;&#1083;\&#1056;&#1072;&#1073;&#1086;&#1095;&#1080;&#1077;%20&#1056;&#1077;&#1094;&#1077;&#1087;&#1090;&#1091;&#1088;&#1099;%20&#1089;%202.02.2005&#1075;\&#1041;&#1077;&#1083;&#1099;&#1077;%20&amp;%20&#1089;&#1091;&#1087;&#1077;&#1088;&#1073;&#1077;&#1083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gt-38\&#1056;&#1040;&#1041;%20&#1056;&#1045;&#1062;%2026.06.06&#1075;\WINDOWS\&#1056;&#1072;&#1073;&#1086;&#1095;&#1080;&#1081;%20&#1089;&#1090;&#1086;&#1083;\&#1056;&#1072;&#1073;&#1086;&#1095;&#1080;&#1077;%20&#1056;&#1077;&#1094;&#1077;&#1087;&#1090;&#1091;&#1088;&#1099;%20&#1089;%2028.10.2004\&#1041;&#1077;&#1083;&#1099;&#1077;%20&amp;%20&#1089;&#1091;&#1087;&#1077;&#1088;&#1073;&#1077;&#1083;&#1099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&#1056;&#1072;&#1073;&#1086;&#1095;&#1080;&#1077;%20&#1056;&#1077;&#1094;&#1077;&#1087;&#1090;&#1091;&#1088;&#1099;%20&#1089;%202.02.2005&#1075;\&#1041;&#1077;&#1083;&#1099;&#1077;%20&#1080;%20&#1089;&#1091;&#1087;&#1077;&#1088;&#1073;&#1077;&#1083;&#1099;&#1077;%20&#1086;&#1090;24.02.05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gt-38\&#1056;&#1040;&#1041;%20&#1056;&#1045;&#1062;%2026.06.06&#1075;\WINDOWS\&#1056;&#1072;&#1073;&#1086;&#1095;&#1080;&#1081;%20&#1089;&#1090;&#1086;&#1083;\&#1056;&#1072;&#1073;&#1086;&#1095;&#1080;&#1077;%20&#1056;&#1077;&#1094;&#1077;&#1087;&#1090;&#1091;&#1088;&#1099;%20&#1089;%202.02.2005&#1075;\&#1041;&#1077;&#1083;&#1099;&#1077;%20&#1080;%20&#1089;&#1091;&#1087;&#1077;&#1088;&#1073;&#1077;&#1083;&#1099;&#1077;%20&#1086;&#1090;24.02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8;&#1079;&#1084;&#1077;&#1085;&#1077;&#1085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1;&#1077;&#1083;&#1099;&#1077;%203.02.200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нутр.CБ (сух) (2)"/>
      <sheetName val="Потолок.CБ (сух) "/>
      <sheetName val="Внутр.Б (сух)"/>
      <sheetName val="Потолок.Б (сух) "/>
      <sheetName val="Сырьё"/>
      <sheetName val="Потол.Б новая"/>
      <sheetName val="Внутр.Б новая"/>
      <sheetName val="Нар.внутр.Б новая"/>
      <sheetName val="Фас. белая новая 1"/>
      <sheetName val="Потол.Б (смывки)"/>
      <sheetName val="Потол.Б"/>
      <sheetName val="Потол. Б (бл.)"/>
      <sheetName val="Внутр.Б  (смывки) (2)"/>
      <sheetName val="Внутр.Б "/>
      <sheetName val="Нар.внутр.Б (смывки) (2)"/>
      <sheetName val="Нар.внутр.Б"/>
      <sheetName val="Фас.Б (смывки) (2)"/>
      <sheetName val="Фас.Б"/>
      <sheetName val="Зимн.Б. (смывки) (2)"/>
      <sheetName val="Зимн.Б."/>
      <sheetName val="Потол.СБ (смывки) (2)"/>
      <sheetName val="Потол.СБ (смывки) (3)"/>
      <sheetName val="Потол.СБ (2)"/>
      <sheetName val="Потол.СБ"/>
      <sheetName val="Потол. СБ (бл.)"/>
      <sheetName val="Внутр.CБ (смывки) (2)"/>
      <sheetName val="Внутр.CБ (смывки) (3)"/>
      <sheetName val="Внутр.CБ (2)"/>
      <sheetName val="Внутр.CБ (сух)"/>
      <sheetName val="Внутр.СБ новая "/>
      <sheetName val="Нар.внутр.СБ (смывки) (2)"/>
      <sheetName val="Нар.внутр.СБ"/>
      <sheetName val="Фас.СБ (смывки) (2)"/>
      <sheetName val="Фас.СБ"/>
      <sheetName val="Зимн.СБ (смывки)"/>
      <sheetName val="Зимн.СБ"/>
      <sheetName val="Потол.Б нов."/>
      <sheetName val="Внутр.Б нов."/>
      <sheetName val="Нар.внутр.Б нов."/>
      <sheetName val="Фас.Б нов."/>
      <sheetName val="Потол.СБ нов.(2)"/>
      <sheetName val="Внутр.СБ нов.(2)"/>
      <sheetName val="Нар.внутр.СБ нов. (2)"/>
      <sheetName val="ФасСБ нов. (2)"/>
      <sheetName val="Потол.Профи"/>
      <sheetName val="Инт.Профи"/>
      <sheetName val="Инт.моющ.Профи"/>
      <sheetName val="Фас.Профи"/>
      <sheetName val="плановые"/>
      <sheetName val="плановые (профи)"/>
    </sheetNames>
    <sheetDataSet>
      <sheetData sheetId="4">
        <row r="6">
          <cell r="B6" t="str">
            <v>Пеногаситель Serdas 7015</v>
          </cell>
        </row>
        <row r="7">
          <cell r="B7" t="str">
            <v>Консервант Acticide FI</v>
          </cell>
        </row>
        <row r="8">
          <cell r="B8" t="str">
            <v>Двуокись титана Cronos 2190</v>
          </cell>
        </row>
        <row r="9">
          <cell r="B9" t="str">
            <v>Omyacarb 2X-KР</v>
          </cell>
        </row>
        <row r="15">
          <cell r="B15" t="str">
            <v>Nextcoat 795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нутр.CБ (сух) (2)"/>
      <sheetName val="Потолок.CБ (сух) "/>
      <sheetName val="Внутр.Б (сух)"/>
      <sheetName val="Потолок.Б (сух) "/>
      <sheetName val="Сырьё"/>
      <sheetName val="Потол.Б (смывки)"/>
      <sheetName val="Потол.СБ новая "/>
      <sheetName val="Потол.Б новая"/>
      <sheetName val="Потол. Б (бл.)"/>
      <sheetName val="Потол.Б нов. (2)"/>
      <sheetName val="Внутр.Б  (смывки)"/>
      <sheetName val="Внутр.СБ новая2 "/>
      <sheetName val="Внутр.Б новая"/>
      <sheetName val="Нар.внутр.Б (смывки)"/>
      <sheetName val="Нар.внутр.СБ новая2"/>
      <sheetName val="Нар.внутр.Б новая"/>
      <sheetName val="Фас.Б (смывки)"/>
      <sheetName val="Фас. СБ новая2"/>
      <sheetName val="Фас. белая новая"/>
      <sheetName val="Зимн.Б. (смывки)"/>
      <sheetName val="Внутр.СБ новая "/>
      <sheetName val="Зимн.Б."/>
      <sheetName val="Потол.СБ (смывки) (2)"/>
      <sheetName val="Потол.СБ (2)"/>
      <sheetName val="Потол.СБ"/>
      <sheetName val="Потол. СБ (бл.)"/>
      <sheetName val="Внутр.CБ (смывки) (2)"/>
      <sheetName val="Внутр.CБ (2)"/>
      <sheetName val="Внутр.CБ (сух)"/>
      <sheetName val="Внутр.CБ"/>
      <sheetName val="Потол.СБ нов (смывки)"/>
      <sheetName val="Потол.СБ нов."/>
      <sheetName val="Внутр.CБ нов (смывки)"/>
      <sheetName val="Внутр.СБ нов."/>
      <sheetName val="Нар.внутр.СБ нов(смывки) "/>
      <sheetName val="Нар.внутр.СБ нов."/>
      <sheetName val="Фас.СБ нов. (смывки)"/>
      <sheetName val="Фас.CБ нов. "/>
      <sheetName val="Потол.Б нов (смывки)"/>
      <sheetName val="Потол.Б нов."/>
      <sheetName val="Внутр.Б нов (смывки)"/>
      <sheetName val="Внутр.Б нов."/>
      <sheetName val="Нар.внутр.Б нов(смывки)"/>
      <sheetName val="Нар.внутр.Б нов."/>
      <sheetName val="Фас.Б нов."/>
      <sheetName val="Нар.внутр.СБ"/>
      <sheetName val="Фас.СБ (смывки)"/>
      <sheetName val="Фас.СБ"/>
      <sheetName val="Зимн.СБ (смывки)"/>
      <sheetName val="Зимн.СБ"/>
      <sheetName val="Потол.Профи"/>
      <sheetName val="Инт.Профи"/>
      <sheetName val="Инт.моющ.Профи"/>
      <sheetName val="Фас.Профи"/>
      <sheetName val="плановые"/>
      <sheetName val="плановые (профи)"/>
    </sheetNames>
    <sheetDataSet>
      <sheetData sheetId="4">
        <row r="3">
          <cell r="B3" t="str">
            <v>DL-450</v>
          </cell>
        </row>
        <row r="6">
          <cell r="B6" t="str">
            <v>Пеногаситель Serdas 7015</v>
          </cell>
        </row>
        <row r="7">
          <cell r="B7" t="str">
            <v>Консервант Acticide FI</v>
          </cell>
        </row>
        <row r="13">
          <cell r="B13" t="str">
            <v>Cellosize ER-30M</v>
          </cell>
        </row>
        <row r="14">
          <cell r="B14" t="str">
            <v>Загуститель Rheovis 112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ырьё"/>
      <sheetName val="Потол. Б (бл.)"/>
      <sheetName val="Зимн.Б. (смывки)"/>
      <sheetName val="Зимн.Б."/>
      <sheetName val="Потол. СБ (бл.)"/>
      <sheetName val="Зимн.СБ (смывки)"/>
      <sheetName val="Зимн.СБ"/>
      <sheetName val="Потол.СБ (смывки)"/>
      <sheetName val="Потол.СБ. (2)"/>
      <sheetName val="Потол.СБ."/>
      <sheetName val="Внутр.СБ (смывки)"/>
      <sheetName val="Внутр.СБ (2)"/>
      <sheetName val="Внутр.СБ"/>
      <sheetName val="Нар.внутр.СБ(смывки)"/>
      <sheetName val="Нар.внутр.СБ"/>
      <sheetName val="Фас.СБ (смывки)"/>
      <sheetName val="Потол.Б. (кальцит М)"/>
      <sheetName val="Внутр.Б (кальцит М)"/>
      <sheetName val="Нар.внутрБ (кальцит М)"/>
      <sheetName val="Фас.Б (кальцит М)"/>
      <sheetName val="Потол.Б. (кальцитТС)"/>
      <sheetName val="Внутр.Б (кальцит ТС)"/>
      <sheetName val="Нар.внутрБ (кальцит М) (2)"/>
      <sheetName val="Фас.Б (кальцит М) (2)"/>
      <sheetName val="Фас.СБ"/>
      <sheetName val="Потол.Б нов (смывки)"/>
      <sheetName val="Потол.Б нов."/>
      <sheetName val="Внутр.Б нов (смывки)"/>
      <sheetName val="Внутр.Б нов."/>
      <sheetName val="Внутр.Б нов. (2)"/>
      <sheetName val="Внутр.Б нов. (3)"/>
      <sheetName val="Нар.внутр.Б нов(смывки)"/>
      <sheetName val="Нар.внутр.Б нов."/>
      <sheetName val="Нар.внутр.Б нов. (2)"/>
      <sheetName val="Фас.Б (смывки)"/>
      <sheetName val="Фас.Б нов."/>
      <sheetName val="Фас.Б нов. (2)"/>
      <sheetName val="Фас.Б нов. (3)"/>
      <sheetName val="Потол.Профи"/>
      <sheetName val="Инт.Профи"/>
      <sheetName val="Инт.моющ.Профи"/>
      <sheetName val="Фас.Профи"/>
      <sheetName val="Потол.СБ. (кальцитТС)"/>
      <sheetName val="Внутр.СБ (кальцит ТС)"/>
      <sheetName val="Нар.внутрСБ (кальцит М) (2)"/>
      <sheetName val="Фас.СБ (кальцит М) (2)"/>
    </sheetNames>
    <sheetDataSet>
      <sheetData sheetId="0">
        <row r="7">
          <cell r="B7" t="str">
            <v>Пеногаситель Serdas 7015</v>
          </cell>
        </row>
        <row r="9">
          <cell r="B9" t="str">
            <v>Консервант Acticide FI</v>
          </cell>
        </row>
        <row r="20">
          <cell r="B20" t="str">
            <v>Загуститель Rheovis 112</v>
          </cell>
        </row>
        <row r="21">
          <cell r="B21" t="str">
            <v>Nextcoat 795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ырьё"/>
      <sheetName val="Потол. Б (бл.)"/>
      <sheetName val="Зимн.Б. (смывки)"/>
      <sheetName val="Зимн.Б."/>
      <sheetName val="Потол. СБ (бл.)"/>
      <sheetName val="Зимн.СБ (смывки)"/>
      <sheetName val="Зимн.СБ"/>
      <sheetName val="Потол.СБ (смывки)"/>
      <sheetName val="Потол.СБ. (2)"/>
      <sheetName val="Потол.СБ."/>
      <sheetName val="Внутр.СБ (смывки)"/>
      <sheetName val="Внутр.СБ (2)"/>
      <sheetName val="Внутр.СБ"/>
      <sheetName val="Нар.внутр.СБ(смывки)"/>
      <sheetName val="Нар.внутр.СБ"/>
      <sheetName val="Фас.СБ (смывки)"/>
      <sheetName val="Потол.Б. (кальцит М)"/>
      <sheetName val="Внутр.Б (кальцит М)"/>
      <sheetName val="Нар.внутрБ (кальцит М)"/>
      <sheetName val="Фас.Б (кальцит М)"/>
      <sheetName val="Потол.СБ. (кальцитТС)"/>
      <sheetName val="Внутр.СБ (кальцит ТС)"/>
      <sheetName val="Нар.внутрСБ (кальцит М) (2)"/>
      <sheetName val="Фас.СБ (кальцит М) (2)"/>
      <sheetName val="Фас.СБ"/>
      <sheetName val="Потол.Б нов (смывки)"/>
      <sheetName val="Потол.Б нов."/>
      <sheetName val="Внутр.Б нов (смывки)"/>
      <sheetName val="Внутр.Б нов."/>
      <sheetName val="Внутр.Б нов. (2)"/>
      <sheetName val="Внутр.Б нов. (3)"/>
      <sheetName val="Нар.внутр.Б нов(смывки)"/>
      <sheetName val="Нар.внутр.Б нов."/>
      <sheetName val="Нар.внутр.Б нов. (2)"/>
      <sheetName val="Фас.Б (смывки)"/>
      <sheetName val="Фас.Б нов."/>
      <sheetName val="Фас.Б нов. (2)"/>
      <sheetName val="Фас.Б нов. (3)"/>
      <sheetName val="Потол.Профи"/>
      <sheetName val="Инт.Профи"/>
      <sheetName val="Инт.моющ.Профи"/>
      <sheetName val="Фас.Профи"/>
      <sheetName val="Потол.Б. (кальцитТС)"/>
      <sheetName val="Внутр.Б (кальцит ТС)"/>
      <sheetName val="Нар.внутрБ (кальцит М) (2)"/>
      <sheetName val="Фас.Б (кальцит М) (2)"/>
    </sheetNames>
    <sheetDataSet>
      <sheetData sheetId="0">
        <row r="7">
          <cell r="B7" t="str">
            <v>Пеногаситель Serdas 7015</v>
          </cell>
        </row>
        <row r="9">
          <cell r="B9" t="str">
            <v>Консервант Acticide FI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ырьё"/>
      <sheetName val="Фас.СБ (кальцит ТС)"/>
      <sheetName val="Нар.внутрСБ (кальцитТС)"/>
      <sheetName val="Внутр.Б (кальцит ТС)"/>
      <sheetName val="Потол.Б. (кальцитТС)"/>
      <sheetName val="Фас.СБ (кальцит ТС) (2)"/>
      <sheetName val="Нар.внутрСБ (кальцитТС) (2)"/>
      <sheetName val="Внутр.Б (кальцит ТС) (2)"/>
      <sheetName val="Потол.Б. (кальцитТС) (2)"/>
      <sheetName val="Светло-зелёная (салатная)"/>
    </sheetNames>
    <sheetDataSet>
      <sheetData sheetId="0">
        <row r="12">
          <cell r="B12" t="str">
            <v>Кальцит ТС-1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ырьё"/>
      <sheetName val="Потол. Б (бл.)"/>
      <sheetName val="Потол. СБ (бл.)"/>
      <sheetName val="Зимн.СБ (смывки)"/>
      <sheetName val="Зимн.Б"/>
      <sheetName val="Потол.СБ (смывки)"/>
      <sheetName val="Потол.СБ."/>
      <sheetName val="Внутр.СБ (смывки)"/>
      <sheetName val="Внутр.СБ (2)"/>
      <sheetName val="Внутр.СБ"/>
      <sheetName val="Нар.внутр.СБ(смывки)"/>
      <sheetName val="Нар.внутр.СБ"/>
      <sheetName val="Фас.СБ (смывки)"/>
      <sheetName val="Фас.СБ"/>
      <sheetName val="Зимн.Б (2)"/>
      <sheetName val="Зимн.Б (430)"/>
      <sheetName val="Потол.Б. (смывки)"/>
      <sheetName val="Потол.Б. (смывки) (2)"/>
      <sheetName val="Потол.Б."/>
      <sheetName val="Внутр.Б.(смывки)"/>
      <sheetName val="Внутр.Б.(смывки) (2)"/>
      <sheetName val="Внутр.Б."/>
      <sheetName val="Нар.внутр.Б.(смывки)"/>
      <sheetName val="Нар.внутр.С.Б.(смывки) (2)"/>
      <sheetName val="Нар.внутрБ."/>
      <sheetName val="Нар.внутрС.Б. (2)"/>
      <sheetName val="Фас.Б. (смывки)"/>
      <sheetName val="Фас.С.Б. (смывки) (2)"/>
      <sheetName val="Фас..Б."/>
      <sheetName val="Фас.Б нов. (2)"/>
      <sheetName val="Фас..Б. (2)"/>
      <sheetName val="Фас.С.Б. (2)"/>
      <sheetName val="Потол.Б нов (смывки)"/>
      <sheetName val="Потол.Б нов."/>
      <sheetName val="Внутр.Б нов (смывки)"/>
      <sheetName val="Внутр.Б нов."/>
      <sheetName val="Внутр.Б нов. (2)"/>
      <sheetName val="Нар.внутр.Б нов(смывки)"/>
      <sheetName val="Нар.внутр.Б нов."/>
      <sheetName val="Нар.внутр.Б нов. (2)"/>
      <sheetName val="Фас.Б (смывки)"/>
      <sheetName val="Фас.Б нов."/>
    </sheetNames>
    <sheetDataSet>
      <sheetData sheetId="0">
        <row r="6">
          <cell r="B6" t="str">
            <v>Пеногаситель Serdas 7015</v>
          </cell>
        </row>
        <row r="8">
          <cell r="B8" t="str">
            <v>Двуокись титана CR-08</v>
          </cell>
        </row>
        <row r="15">
          <cell r="B15" t="str">
            <v>Natrosol 250 HBR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53"/>
  <sheetViews>
    <sheetView showGridLines="0" zoomScalePageLayoutView="0" workbookViewId="0" topLeftCell="A22">
      <selection activeCell="B43" sqref="B43"/>
    </sheetView>
  </sheetViews>
  <sheetFormatPr defaultColWidth="9.00390625" defaultRowHeight="12.75"/>
  <cols>
    <col min="1" max="1" width="39.125" style="10" customWidth="1"/>
    <col min="2" max="2" width="45.75390625" style="10" customWidth="1"/>
    <col min="3" max="3" width="1.75390625" style="10" customWidth="1"/>
    <col min="4" max="16384" width="9.125" style="10" customWidth="1"/>
  </cols>
  <sheetData>
    <row r="1" spans="1:2" ht="51" customHeight="1">
      <c r="A1" s="141" t="s">
        <v>46</v>
      </c>
      <c r="B1" s="142"/>
    </row>
    <row r="2" spans="1:2" ht="18" customHeight="1">
      <c r="A2" s="11" t="s">
        <v>43</v>
      </c>
      <c r="B2" s="26" t="s">
        <v>149</v>
      </c>
    </row>
    <row r="3" spans="1:2" ht="18" customHeight="1">
      <c r="A3" s="11" t="s">
        <v>44</v>
      </c>
      <c r="B3" s="26" t="s">
        <v>149</v>
      </c>
    </row>
    <row r="4" spans="1:2" ht="18" customHeight="1">
      <c r="A4" s="11"/>
      <c r="B4" s="26" t="s">
        <v>149</v>
      </c>
    </row>
    <row r="5" spans="1:2" ht="18" customHeight="1">
      <c r="A5" s="11" t="s">
        <v>22</v>
      </c>
      <c r="B5" s="26" t="s">
        <v>137</v>
      </c>
    </row>
    <row r="6" spans="1:2" ht="18" customHeight="1">
      <c r="A6" s="11" t="s">
        <v>23</v>
      </c>
      <c r="B6" s="26" t="s">
        <v>170</v>
      </c>
    </row>
    <row r="7" spans="1:2" ht="18" customHeight="1">
      <c r="A7" s="11" t="s">
        <v>24</v>
      </c>
      <c r="B7" s="26" t="s">
        <v>51</v>
      </c>
    </row>
    <row r="8" spans="1:2" ht="18" customHeight="1">
      <c r="A8" s="11" t="s">
        <v>25</v>
      </c>
      <c r="B8" s="26" t="s">
        <v>182</v>
      </c>
    </row>
    <row r="9" spans="1:2" ht="18" customHeight="1">
      <c r="A9" s="11" t="s">
        <v>82</v>
      </c>
      <c r="B9" s="26" t="s">
        <v>176</v>
      </c>
    </row>
    <row r="10" spans="1:2" ht="18" customHeight="1">
      <c r="A10" s="11"/>
      <c r="B10" s="26" t="s">
        <v>179</v>
      </c>
    </row>
    <row r="11" spans="1:2" ht="18" customHeight="1">
      <c r="A11" s="11"/>
      <c r="B11" s="26" t="s">
        <v>176</v>
      </c>
    </row>
    <row r="12" spans="1:2" ht="18" customHeight="1">
      <c r="A12" s="11"/>
      <c r="B12" s="26" t="s">
        <v>179</v>
      </c>
    </row>
    <row r="13" spans="1:2" ht="18" customHeight="1">
      <c r="A13" s="11" t="s">
        <v>26</v>
      </c>
      <c r="B13" s="26" t="s">
        <v>77</v>
      </c>
    </row>
    <row r="14" spans="1:2" ht="18" customHeight="1">
      <c r="A14" s="11" t="s">
        <v>56</v>
      </c>
      <c r="B14" s="26" t="s">
        <v>84</v>
      </c>
    </row>
    <row r="15" spans="1:2" ht="33" customHeight="1">
      <c r="A15" s="52" t="s">
        <v>78</v>
      </c>
      <c r="B15" s="28" t="s">
        <v>174</v>
      </c>
    </row>
    <row r="16" spans="1:2" ht="32.25" customHeight="1">
      <c r="A16" s="52" t="s">
        <v>79</v>
      </c>
      <c r="B16" s="28" t="s">
        <v>174</v>
      </c>
    </row>
    <row r="17" spans="1:2" ht="18" customHeight="1">
      <c r="A17" s="11" t="s">
        <v>27</v>
      </c>
      <c r="B17" s="26" t="s">
        <v>138</v>
      </c>
    </row>
    <row r="18" spans="1:2" ht="18" customHeight="1">
      <c r="A18" s="11" t="s">
        <v>75</v>
      </c>
      <c r="B18" s="26" t="s">
        <v>80</v>
      </c>
    </row>
    <row r="19" spans="1:2" ht="18" customHeight="1">
      <c r="A19" s="11" t="s">
        <v>76</v>
      </c>
      <c r="B19" s="26" t="s">
        <v>48</v>
      </c>
    </row>
    <row r="20" spans="1:2" ht="42" customHeight="1">
      <c r="A20" s="143" t="s">
        <v>60</v>
      </c>
      <c r="B20" s="144"/>
    </row>
    <row r="21" spans="1:2" ht="30" customHeight="1">
      <c r="A21" s="145" t="s">
        <v>59</v>
      </c>
      <c r="B21" s="146"/>
    </row>
    <row r="22" ht="18" customHeight="1">
      <c r="B22" s="28" t="s">
        <v>174</v>
      </c>
    </row>
    <row r="23" ht="18" customHeight="1">
      <c r="B23" s="28" t="s">
        <v>174</v>
      </c>
    </row>
    <row r="24" ht="18" customHeight="1">
      <c r="B24" s="28" t="s">
        <v>174</v>
      </c>
    </row>
    <row r="25" ht="18" customHeight="1">
      <c r="B25" s="28" t="s">
        <v>174</v>
      </c>
    </row>
    <row r="26" ht="18" customHeight="1">
      <c r="B26" s="28" t="s">
        <v>174</v>
      </c>
    </row>
    <row r="27" ht="18" customHeight="1">
      <c r="B27" s="28" t="s">
        <v>178</v>
      </c>
    </row>
    <row r="28" ht="18" customHeight="1">
      <c r="B28" s="28" t="s">
        <v>174</v>
      </c>
    </row>
    <row r="29" spans="1:4" ht="30" customHeight="1">
      <c r="A29" s="147"/>
      <c r="B29" s="147"/>
      <c r="C29" s="147"/>
      <c r="D29" s="49"/>
    </row>
    <row r="30" spans="1:2" ht="15" customHeight="1">
      <c r="A30" s="140" t="s">
        <v>134</v>
      </c>
      <c r="B30" s="140"/>
    </row>
    <row r="31" spans="1:2" ht="15" customHeight="1">
      <c r="A31" s="119"/>
      <c r="B31" s="26" t="s">
        <v>158</v>
      </c>
    </row>
    <row r="32" ht="15" customHeight="1">
      <c r="B32" s="26" t="s">
        <v>95</v>
      </c>
    </row>
    <row r="33" ht="15" customHeight="1">
      <c r="B33" s="26" t="s">
        <v>176</v>
      </c>
    </row>
    <row r="34" ht="15" customHeight="1">
      <c r="B34" s="26" t="s">
        <v>130</v>
      </c>
    </row>
    <row r="35" spans="1:2" ht="15" customHeight="1">
      <c r="A35" s="140" t="s">
        <v>135</v>
      </c>
      <c r="B35" s="140"/>
    </row>
    <row r="36" ht="15" customHeight="1">
      <c r="B36" s="26" t="s">
        <v>131</v>
      </c>
    </row>
    <row r="37" ht="15" customHeight="1">
      <c r="B37" s="26" t="s">
        <v>180</v>
      </c>
    </row>
    <row r="38" ht="15" customHeight="1">
      <c r="B38" s="26" t="s">
        <v>132</v>
      </c>
    </row>
    <row r="39" spans="1:2" ht="15" customHeight="1">
      <c r="A39" s="139" t="s">
        <v>96</v>
      </c>
      <c r="B39" s="139"/>
    </row>
    <row r="40" ht="15" customHeight="1">
      <c r="B40" s="26" t="s">
        <v>98</v>
      </c>
    </row>
    <row r="41" ht="15" customHeight="1">
      <c r="B41" s="26" t="s">
        <v>149</v>
      </c>
    </row>
    <row r="42" ht="15" customHeight="1">
      <c r="B42" s="26" t="s">
        <v>97</v>
      </c>
    </row>
    <row r="43" ht="15" customHeight="1">
      <c r="B43" s="26" t="s">
        <v>73</v>
      </c>
    </row>
    <row r="44" ht="15" customHeight="1">
      <c r="B44" s="26" t="s">
        <v>136</v>
      </c>
    </row>
    <row r="45" ht="15" customHeight="1">
      <c r="B45" s="26" t="s">
        <v>139</v>
      </c>
    </row>
    <row r="46" ht="15" customHeight="1">
      <c r="B46" s="26" t="s">
        <v>129</v>
      </c>
    </row>
    <row r="47" spans="1:2" ht="15" customHeight="1">
      <c r="A47" s="139" t="s">
        <v>126</v>
      </c>
      <c r="B47" s="139"/>
    </row>
    <row r="48" ht="15" customHeight="1">
      <c r="B48" s="26" t="s">
        <v>108</v>
      </c>
    </row>
    <row r="49" ht="15" customHeight="1">
      <c r="B49" s="26" t="s">
        <v>124</v>
      </c>
    </row>
    <row r="50" ht="15" customHeight="1">
      <c r="B50" s="26" t="s">
        <v>127</v>
      </c>
    </row>
    <row r="51" ht="15" customHeight="1">
      <c r="B51" s="26" t="s">
        <v>140</v>
      </c>
    </row>
    <row r="52" ht="15" customHeight="1">
      <c r="B52" s="26" t="s">
        <v>168</v>
      </c>
    </row>
    <row r="53" ht="15" customHeight="1">
      <c r="B53" s="26" t="s">
        <v>133</v>
      </c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8">
    <mergeCell ref="A47:B47"/>
    <mergeCell ref="A39:B39"/>
    <mergeCell ref="A30:B30"/>
    <mergeCell ref="A1:B1"/>
    <mergeCell ref="A20:B20"/>
    <mergeCell ref="A21:B21"/>
    <mergeCell ref="A29:C29"/>
    <mergeCell ref="A35:B35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G39"/>
  <sheetViews>
    <sheetView showGridLines="0" zoomScale="75" zoomScaleNormal="75" zoomScalePageLayoutView="0" workbookViewId="0" topLeftCell="A1">
      <selection activeCell="E2" sqref="E2"/>
    </sheetView>
  </sheetViews>
  <sheetFormatPr defaultColWidth="9.00390625" defaultRowHeight="12.75"/>
  <cols>
    <col min="1" max="1" width="32.75390625" style="2" customWidth="1"/>
    <col min="2" max="5" width="14.75390625" style="2" customWidth="1"/>
    <col min="6" max="16384" width="9.125" style="2" customWidth="1"/>
  </cols>
  <sheetData>
    <row r="1" spans="1:5" ht="39" customHeight="1">
      <c r="A1" s="157" t="s">
        <v>120</v>
      </c>
      <c r="B1" s="180"/>
      <c r="C1" s="180"/>
      <c r="D1" s="180"/>
      <c r="E1" s="180"/>
    </row>
    <row r="2" spans="1:5" ht="1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15.75" customHeight="1">
      <c r="A3" s="160" t="s">
        <v>29</v>
      </c>
      <c r="B3" s="161"/>
      <c r="C3" s="162"/>
      <c r="D3" s="5" t="s">
        <v>21</v>
      </c>
      <c r="E3" s="9"/>
    </row>
    <row r="4" spans="1:5" ht="15.75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33.7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7" ht="16.5" customHeight="1">
      <c r="A6" s="29" t="s">
        <v>0</v>
      </c>
      <c r="B6" s="30">
        <f>E2-SUM(B7:B26)</f>
        <v>20.559999999999988</v>
      </c>
      <c r="C6" s="31"/>
      <c r="D6" s="31"/>
      <c r="E6" s="31"/>
      <c r="G6" s="58" t="s">
        <v>94</v>
      </c>
    </row>
    <row r="7" spans="1:7" ht="16.5" customHeight="1">
      <c r="A7" s="53" t="s">
        <v>93</v>
      </c>
      <c r="B7" s="54">
        <f>E2*0.2</f>
        <v>20</v>
      </c>
      <c r="C7" s="55"/>
      <c r="D7" s="55"/>
      <c r="E7" s="55"/>
      <c r="G7" s="57">
        <v>0.2</v>
      </c>
    </row>
    <row r="8" spans="1:5" ht="16.5" customHeight="1">
      <c r="A8" s="32" t="str">
        <f>Сырьё!$B$16</f>
        <v>Polycol  WP-20B</v>
      </c>
      <c r="B8" s="33">
        <f>E2*0.0028</f>
        <v>0.27999999999999997</v>
      </c>
      <c r="C8" s="34"/>
      <c r="D8" s="34"/>
      <c r="E8" s="34"/>
    </row>
    <row r="9" spans="1:5" ht="15.75" customHeight="1">
      <c r="A9" s="184" t="s">
        <v>90</v>
      </c>
      <c r="B9" s="185"/>
      <c r="C9" s="185"/>
      <c r="D9" s="185"/>
      <c r="E9" s="186"/>
    </row>
    <row r="10" spans="1:5" ht="16.5" customHeight="1">
      <c r="A10" s="29" t="s">
        <v>30</v>
      </c>
      <c r="B10" s="30">
        <f>E2*0.015</f>
        <v>1.5</v>
      </c>
      <c r="C10" s="31"/>
      <c r="D10" s="31"/>
      <c r="E10" s="31"/>
    </row>
    <row r="11" spans="1:5" ht="16.5" customHeight="1">
      <c r="A11" s="35" t="s">
        <v>1</v>
      </c>
      <c r="B11" s="36">
        <f>E2*0.03</f>
        <v>3</v>
      </c>
      <c r="C11" s="62"/>
      <c r="D11" s="62"/>
      <c r="E11" s="62"/>
    </row>
    <row r="12" spans="1:5" ht="16.5" customHeight="1">
      <c r="A12" s="35" t="str">
        <f>Сырьё!$B$5</f>
        <v>Диспергатор Opotan N4045</v>
      </c>
      <c r="B12" s="36">
        <f>E2*0.003</f>
        <v>0.3</v>
      </c>
      <c r="C12" s="37"/>
      <c r="D12" s="37"/>
      <c r="E12" s="37"/>
    </row>
    <row r="13" spans="1:5" ht="16.5" customHeight="1">
      <c r="A13" s="35" t="s">
        <v>52</v>
      </c>
      <c r="B13" s="36">
        <f>E2*0.0001</f>
        <v>0.01</v>
      </c>
      <c r="C13" s="37"/>
      <c r="D13" s="37"/>
      <c r="E13" s="37"/>
    </row>
    <row r="14" spans="1:5" ht="17.25" customHeight="1">
      <c r="A14" s="181" t="s">
        <v>86</v>
      </c>
      <c r="B14" s="182"/>
      <c r="C14" s="182"/>
      <c r="D14" s="182"/>
      <c r="E14" s="183"/>
    </row>
    <row r="15" spans="1:5" ht="16.5" customHeight="1">
      <c r="A15" s="29" t="s">
        <v>83</v>
      </c>
      <c r="B15" s="30">
        <f>E2*0.0005</f>
        <v>0.05</v>
      </c>
      <c r="C15" s="31"/>
      <c r="D15" s="31"/>
      <c r="E15" s="31"/>
    </row>
    <row r="16" spans="1:5" ht="16.5" customHeight="1">
      <c r="A16" s="61" t="str">
        <f>Сырьё!$B$8</f>
        <v>Lomon  R996</v>
      </c>
      <c r="B16" s="30">
        <f>E2*0.02</f>
        <v>2</v>
      </c>
      <c r="C16" s="31"/>
      <c r="D16" s="31"/>
      <c r="E16" s="31"/>
    </row>
    <row r="17" spans="1:5" ht="16.5" customHeight="1">
      <c r="A17" s="35" t="str">
        <f>Сырьё!$B$9</f>
        <v>Omyacarb 2-UR</v>
      </c>
      <c r="B17" s="36">
        <f>E2*0.4</f>
        <v>40</v>
      </c>
      <c r="C17" s="37"/>
      <c r="D17" s="37"/>
      <c r="E17" s="37"/>
    </row>
    <row r="18" spans="1:5" ht="16.5" customHeight="1">
      <c r="A18" s="35" t="s">
        <v>105</v>
      </c>
      <c r="B18" s="36">
        <f>E2*0.1</f>
        <v>10</v>
      </c>
      <c r="C18" s="37"/>
      <c r="D18" s="37"/>
      <c r="E18" s="37"/>
    </row>
    <row r="19" spans="1:5" ht="16.5" customHeight="1">
      <c r="A19" s="32" t="s">
        <v>99</v>
      </c>
      <c r="B19" s="33">
        <f>E2*0.005</f>
        <v>0.5</v>
      </c>
      <c r="C19" s="34"/>
      <c r="D19" s="34"/>
      <c r="E19" s="34"/>
    </row>
    <row r="20" spans="1:5" ht="17.25" customHeight="1">
      <c r="A20" s="184" t="s">
        <v>89</v>
      </c>
      <c r="B20" s="185"/>
      <c r="C20" s="185"/>
      <c r="D20" s="185"/>
      <c r="E20" s="186"/>
    </row>
    <row r="21" spans="1:5" ht="16.5" customHeight="1">
      <c r="A21" s="29" t="s">
        <v>97</v>
      </c>
      <c r="B21" s="30">
        <f>E2*((4.5-20*G7)/50)</f>
        <v>1</v>
      </c>
      <c r="C21" s="38"/>
      <c r="D21" s="38"/>
      <c r="E21" s="38"/>
    </row>
    <row r="22" spans="1:5" ht="16.5" customHeight="1">
      <c r="A22" s="35" t="str">
        <f>Сырьё!$B$7</f>
        <v>Консервант Acticide FI</v>
      </c>
      <c r="B22" s="36">
        <f>E2*0.002</f>
        <v>0.2</v>
      </c>
      <c r="C22" s="37"/>
      <c r="D22" s="37"/>
      <c r="E22" s="37"/>
    </row>
    <row r="23" spans="1:5" ht="15.75" customHeight="1">
      <c r="A23" s="35" t="s">
        <v>61</v>
      </c>
      <c r="B23" s="36">
        <f>E2*0.0005</f>
        <v>0.05</v>
      </c>
      <c r="C23" s="37"/>
      <c r="D23" s="37"/>
      <c r="E23" s="37"/>
    </row>
    <row r="24" spans="1:5" ht="16.5" customHeight="1">
      <c r="A24" s="35" t="str">
        <f>Сырьё!$B$6</f>
        <v>Пеногаситель Contrapen PR-194</v>
      </c>
      <c r="B24" s="36">
        <f>E2*0.0015</f>
        <v>0.15</v>
      </c>
      <c r="C24" s="37"/>
      <c r="D24" s="37"/>
      <c r="E24" s="37"/>
    </row>
    <row r="25" spans="1:5" ht="16.5" customHeight="1">
      <c r="A25" s="32" t="str">
        <f>Сырьё!$B$17</f>
        <v>Загуститель Rheovis 112</v>
      </c>
      <c r="B25" s="33">
        <f>E2*0.002</f>
        <v>0.2</v>
      </c>
      <c r="C25" s="190" t="s">
        <v>91</v>
      </c>
      <c r="D25" s="191"/>
      <c r="E25" s="192"/>
    </row>
    <row r="26" spans="1:5" ht="16.5" customHeight="1">
      <c r="A26" s="32" t="s">
        <v>0</v>
      </c>
      <c r="B26" s="33">
        <f>E2*0.002</f>
        <v>0.2</v>
      </c>
      <c r="C26" s="193"/>
      <c r="D26" s="194"/>
      <c r="E26" s="195"/>
    </row>
    <row r="27" spans="1:5" ht="33.75" customHeight="1">
      <c r="A27" s="187" t="s">
        <v>92</v>
      </c>
      <c r="B27" s="188"/>
      <c r="C27" s="188"/>
      <c r="D27" s="188"/>
      <c r="E27" s="189"/>
    </row>
    <row r="28" spans="1:5" ht="16.5" customHeight="1">
      <c r="A28" s="4" t="s">
        <v>11</v>
      </c>
      <c r="B28" s="3">
        <f>SUM(B6:B26)</f>
        <v>100</v>
      </c>
      <c r="C28" s="1"/>
      <c r="D28" s="1"/>
      <c r="E28" s="1"/>
    </row>
    <row r="29" spans="1:5" ht="16.5" customHeight="1">
      <c r="A29" s="12" t="s">
        <v>32</v>
      </c>
      <c r="B29" s="13">
        <f>(20*G7+B8+B10*0.1+B12*0.4+B13+B16+B17+B18+B21*0.5+(B24+B25)*0.3)*100/E2</f>
        <v>57.165</v>
      </c>
      <c r="C29" s="14"/>
      <c r="D29" s="14"/>
      <c r="E29" s="14"/>
    </row>
    <row r="30" spans="1:5" ht="21.75" customHeight="1">
      <c r="A30" s="148" t="s">
        <v>45</v>
      </c>
      <c r="B30" s="148"/>
      <c r="C30" s="148" t="s">
        <v>12</v>
      </c>
      <c r="D30" s="148"/>
      <c r="E30" s="148"/>
    </row>
    <row r="31" spans="1:7" s="16" customFormat="1" ht="21.75" customHeight="1">
      <c r="A31" s="163" t="s">
        <v>33</v>
      </c>
      <c r="B31" s="163"/>
      <c r="C31" s="163"/>
      <c r="D31" s="163"/>
      <c r="E31" s="163"/>
      <c r="F31" s="15"/>
      <c r="G31" s="15"/>
    </row>
    <row r="32" spans="1:7" s="16" customFormat="1" ht="39" customHeight="1">
      <c r="A32" s="17" t="s">
        <v>13</v>
      </c>
      <c r="B32" s="159" t="s">
        <v>47</v>
      </c>
      <c r="C32" s="152"/>
      <c r="D32" s="151" t="s">
        <v>14</v>
      </c>
      <c r="E32" s="152"/>
      <c r="F32" s="18"/>
      <c r="G32" s="19"/>
    </row>
    <row r="33" spans="1:7" s="16" customFormat="1" ht="18" customHeight="1">
      <c r="A33" s="20" t="s">
        <v>4</v>
      </c>
      <c r="B33" s="197" t="s">
        <v>34</v>
      </c>
      <c r="C33" s="179"/>
      <c r="D33" s="178" t="s">
        <v>2</v>
      </c>
      <c r="E33" s="179"/>
      <c r="F33" s="18"/>
      <c r="G33" s="19"/>
    </row>
    <row r="34" spans="1:7" s="16" customFormat="1" ht="18" customHeight="1">
      <c r="A34" s="20" t="s">
        <v>35</v>
      </c>
      <c r="B34" s="197" t="s">
        <v>36</v>
      </c>
      <c r="C34" s="179"/>
      <c r="D34" s="178"/>
      <c r="E34" s="179"/>
      <c r="F34" s="18"/>
      <c r="G34" s="19"/>
    </row>
    <row r="35" spans="1:7" s="16" customFormat="1" ht="18" customHeight="1">
      <c r="A35" s="20" t="s">
        <v>16</v>
      </c>
      <c r="B35" s="198" t="s">
        <v>37</v>
      </c>
      <c r="C35" s="199"/>
      <c r="D35" s="178" t="s">
        <v>3</v>
      </c>
      <c r="E35" s="179"/>
      <c r="F35" s="18"/>
      <c r="G35" s="19"/>
    </row>
    <row r="36" spans="1:7" s="16" customFormat="1" ht="30" customHeight="1">
      <c r="A36" s="21" t="s">
        <v>38</v>
      </c>
      <c r="B36" s="198" t="s">
        <v>81</v>
      </c>
      <c r="C36" s="199"/>
      <c r="D36" s="178"/>
      <c r="E36" s="179"/>
      <c r="F36" s="18"/>
      <c r="G36" s="19"/>
    </row>
    <row r="37" spans="1:7" s="16" customFormat="1" ht="18" customHeight="1">
      <c r="A37" s="20" t="s">
        <v>17</v>
      </c>
      <c r="B37" s="198" t="s">
        <v>40</v>
      </c>
      <c r="C37" s="199"/>
      <c r="D37" s="178"/>
      <c r="E37" s="179"/>
      <c r="F37" s="18"/>
      <c r="G37" s="19"/>
    </row>
    <row r="38" spans="1:7" s="16" customFormat="1" ht="30" customHeight="1">
      <c r="A38" s="21" t="s">
        <v>41</v>
      </c>
      <c r="B38" s="198" t="s">
        <v>42</v>
      </c>
      <c r="C38" s="199"/>
      <c r="D38" s="178" t="s">
        <v>2</v>
      </c>
      <c r="E38" s="179"/>
      <c r="F38" s="18"/>
      <c r="G38" s="19"/>
    </row>
    <row r="39" spans="1:6" s="16" customFormat="1" ht="24" customHeight="1">
      <c r="A39" s="171" t="s">
        <v>15</v>
      </c>
      <c r="B39" s="171"/>
      <c r="C39" s="22"/>
      <c r="D39" s="23" t="s">
        <v>19</v>
      </c>
      <c r="E39" s="24" t="s">
        <v>107</v>
      </c>
      <c r="F39" s="25"/>
    </row>
  </sheetData>
  <sheetProtection password="CEFD" sheet="1" objects="1" scenarios="1" selectLockedCells="1"/>
  <mergeCells count="28">
    <mergeCell ref="C30:E30"/>
    <mergeCell ref="D38:E38"/>
    <mergeCell ref="D32:E32"/>
    <mergeCell ref="D33:E33"/>
    <mergeCell ref="D34:E34"/>
    <mergeCell ref="D37:E37"/>
    <mergeCell ref="D35:E35"/>
    <mergeCell ref="D36:E36"/>
    <mergeCell ref="A1:E1"/>
    <mergeCell ref="B32:C32"/>
    <mergeCell ref="A31:E31"/>
    <mergeCell ref="A14:E14"/>
    <mergeCell ref="A20:E20"/>
    <mergeCell ref="A27:E27"/>
    <mergeCell ref="A3:C3"/>
    <mergeCell ref="B2:C2"/>
    <mergeCell ref="A30:B30"/>
    <mergeCell ref="C25:E26"/>
    <mergeCell ref="D4:E4"/>
    <mergeCell ref="B4:C4"/>
    <mergeCell ref="A39:B39"/>
    <mergeCell ref="B33:C33"/>
    <mergeCell ref="B34:C34"/>
    <mergeCell ref="B37:C37"/>
    <mergeCell ref="B38:C38"/>
    <mergeCell ref="B35:C35"/>
    <mergeCell ref="B36:C36"/>
    <mergeCell ref="A9:E9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G38"/>
  <sheetViews>
    <sheetView showGridLines="0" zoomScale="75" zoomScaleNormal="75" zoomScalePageLayoutView="0" workbookViewId="0" topLeftCell="A1">
      <selection activeCell="E2" sqref="E2"/>
    </sheetView>
  </sheetViews>
  <sheetFormatPr defaultColWidth="9.00390625" defaultRowHeight="12.75"/>
  <cols>
    <col min="1" max="1" width="34.25390625" style="2" customWidth="1"/>
    <col min="2" max="2" width="14.75390625" style="2" customWidth="1"/>
    <col min="3" max="3" width="14.125" style="2" customWidth="1"/>
    <col min="4" max="4" width="13.375" style="2" customWidth="1"/>
    <col min="5" max="5" width="14.75390625" style="2" customWidth="1"/>
    <col min="6" max="16384" width="9.125" style="2" customWidth="1"/>
  </cols>
  <sheetData>
    <row r="1" spans="1:5" ht="39" customHeight="1">
      <c r="A1" s="157" t="s">
        <v>116</v>
      </c>
      <c r="B1" s="180"/>
      <c r="C1" s="180"/>
      <c r="D1" s="180"/>
      <c r="E1" s="180"/>
    </row>
    <row r="2" spans="1:5" ht="1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15.75" customHeight="1">
      <c r="A3" s="160" t="s">
        <v>29</v>
      </c>
      <c r="B3" s="161"/>
      <c r="C3" s="162"/>
      <c r="D3" s="5" t="s">
        <v>21</v>
      </c>
      <c r="E3" s="9"/>
    </row>
    <row r="4" spans="1:5" ht="15.75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33.7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5" ht="16.5" customHeight="1">
      <c r="A6" s="29" t="s">
        <v>0</v>
      </c>
      <c r="B6" s="30">
        <f>E2-SUM(B7:B24)</f>
        <v>32.81</v>
      </c>
      <c r="C6" s="31"/>
      <c r="D6" s="31"/>
      <c r="E6" s="31"/>
    </row>
    <row r="7" spans="1:5" ht="16.5" customHeight="1">
      <c r="A7" s="32" t="str">
        <f>Сырьё!$B$16</f>
        <v>Polycol  WP-20B</v>
      </c>
      <c r="B7" s="33">
        <f>IF(A7="Walocel XM 6000 PV",E2*0.0035,IF(A7="Walocel XM 20000 PV",E2*0.0028,E2*0.0028))</f>
        <v>0.27999999999999997</v>
      </c>
      <c r="C7" s="34"/>
      <c r="D7" s="34"/>
      <c r="E7" s="34"/>
    </row>
    <row r="8" spans="1:5" ht="15.75" customHeight="1">
      <c r="A8" s="184" t="s">
        <v>90</v>
      </c>
      <c r="B8" s="185"/>
      <c r="C8" s="185"/>
      <c r="D8" s="185"/>
      <c r="E8" s="186"/>
    </row>
    <row r="9" spans="1:5" ht="16.5" customHeight="1">
      <c r="A9" s="29" t="s">
        <v>30</v>
      </c>
      <c r="B9" s="30">
        <f>E2*0.015</f>
        <v>1.5</v>
      </c>
      <c r="C9" s="31"/>
      <c r="D9" s="31"/>
      <c r="E9" s="31"/>
    </row>
    <row r="10" spans="1:5" ht="16.5" customHeight="1">
      <c r="A10" s="35" t="str">
        <f>Сырьё!$B$5</f>
        <v>Диспергатор Opotan N4045</v>
      </c>
      <c r="B10" s="36">
        <f>E2*0.003</f>
        <v>0.3</v>
      </c>
      <c r="C10" s="37"/>
      <c r="D10" s="37"/>
      <c r="E10" s="37"/>
    </row>
    <row r="11" spans="1:5" ht="16.5" customHeight="1">
      <c r="A11" s="35" t="s">
        <v>52</v>
      </c>
      <c r="B11" s="36">
        <f>E2*0.0001</f>
        <v>0.01</v>
      </c>
      <c r="C11" s="37"/>
      <c r="D11" s="37"/>
      <c r="E11" s="37"/>
    </row>
    <row r="12" spans="1:5" ht="16.5" customHeight="1">
      <c r="A12" s="35" t="s">
        <v>1</v>
      </c>
      <c r="B12" s="36">
        <f>E2*0.03</f>
        <v>3</v>
      </c>
      <c r="C12" s="37"/>
      <c r="D12" s="37"/>
      <c r="E12" s="37"/>
    </row>
    <row r="13" spans="1:5" ht="17.25" customHeight="1">
      <c r="A13" s="181" t="s">
        <v>86</v>
      </c>
      <c r="B13" s="182"/>
      <c r="C13" s="182"/>
      <c r="D13" s="182"/>
      <c r="E13" s="183"/>
    </row>
    <row r="14" spans="1:5" ht="16.5" customHeight="1">
      <c r="A14" s="29" t="s">
        <v>83</v>
      </c>
      <c r="B14" s="30">
        <f>E2*0.0005</f>
        <v>0.05</v>
      </c>
      <c r="C14" s="31"/>
      <c r="D14" s="31"/>
      <c r="E14" s="31"/>
    </row>
    <row r="15" spans="1:5" ht="16.5" customHeight="1">
      <c r="A15" s="29" t="str">
        <f>Сырьё!B8</f>
        <v>Lomon  R996</v>
      </c>
      <c r="B15" s="30">
        <f>E2*0.02</f>
        <v>2</v>
      </c>
      <c r="C15" s="31"/>
      <c r="D15" s="31"/>
      <c r="E15" s="31"/>
    </row>
    <row r="16" spans="1:5" ht="16.5" customHeight="1">
      <c r="A16" s="35" t="str">
        <f>Сырьё!$B$9</f>
        <v>Omyacarb 2-UR</v>
      </c>
      <c r="B16" s="36">
        <f>E2*0.4</f>
        <v>40</v>
      </c>
      <c r="C16" s="37"/>
      <c r="D16" s="37"/>
      <c r="E16" s="37"/>
    </row>
    <row r="17" spans="1:5" ht="16.5" customHeight="1">
      <c r="A17" s="35" t="s">
        <v>105</v>
      </c>
      <c r="B17" s="36">
        <f>E2*0.1</f>
        <v>10</v>
      </c>
      <c r="C17" s="37"/>
      <c r="D17" s="37"/>
      <c r="E17" s="37"/>
    </row>
    <row r="18" spans="1:5" ht="16.5" customHeight="1">
      <c r="A18" s="32" t="s">
        <v>99</v>
      </c>
      <c r="B18" s="33">
        <f>E2*0.005</f>
        <v>0.5</v>
      </c>
      <c r="C18" s="34"/>
      <c r="D18" s="34"/>
      <c r="E18" s="34"/>
    </row>
    <row r="19" spans="1:5" ht="17.25" customHeight="1">
      <c r="A19" s="184" t="s">
        <v>89</v>
      </c>
      <c r="B19" s="185"/>
      <c r="C19" s="185"/>
      <c r="D19" s="185"/>
      <c r="E19" s="186"/>
    </row>
    <row r="20" spans="1:5" ht="16.5" customHeight="1">
      <c r="A20" s="29" t="s">
        <v>97</v>
      </c>
      <c r="B20" s="30">
        <f>E2*0.09</f>
        <v>9</v>
      </c>
      <c r="C20" s="38"/>
      <c r="D20" s="38"/>
      <c r="E20" s="38"/>
    </row>
    <row r="21" spans="1:5" ht="16.5" customHeight="1">
      <c r="A21" s="35" t="str">
        <f>Сырьё!$B$7</f>
        <v>Консервант Acticide FI</v>
      </c>
      <c r="B21" s="36">
        <f>E2*0.002</f>
        <v>0.2</v>
      </c>
      <c r="C21" s="37"/>
      <c r="D21" s="37"/>
      <c r="E21" s="37"/>
    </row>
    <row r="22" spans="1:5" ht="15.75" customHeight="1">
      <c r="A22" s="35" t="s">
        <v>61</v>
      </c>
      <c r="B22" s="36">
        <f>E2*0.0005</f>
        <v>0.05</v>
      </c>
      <c r="C22" s="37"/>
      <c r="D22" s="37"/>
      <c r="E22" s="37"/>
    </row>
    <row r="23" spans="1:5" ht="16.5" customHeight="1">
      <c r="A23" s="35" t="str">
        <f>Сырьё!$B$6</f>
        <v>Пеногаситель Contrapen PR-194</v>
      </c>
      <c r="B23" s="36">
        <f>E2*0.001</f>
        <v>0.1</v>
      </c>
      <c r="C23" s="37"/>
      <c r="D23" s="37"/>
      <c r="E23" s="37"/>
    </row>
    <row r="24" spans="1:5" ht="16.5" customHeight="1">
      <c r="A24" s="32" t="str">
        <f>Сырьё!$B$17</f>
        <v>Загуститель Rheovis 112</v>
      </c>
      <c r="B24" s="33">
        <f>E2*0.002</f>
        <v>0.2</v>
      </c>
      <c r="C24" s="190" t="s">
        <v>91</v>
      </c>
      <c r="D24" s="191"/>
      <c r="E24" s="192"/>
    </row>
    <row r="25" spans="1:5" ht="16.5" customHeight="1">
      <c r="A25" s="32" t="s">
        <v>0</v>
      </c>
      <c r="B25" s="33">
        <f>E2*0.002</f>
        <v>0.2</v>
      </c>
      <c r="C25" s="193"/>
      <c r="D25" s="194"/>
      <c r="E25" s="195"/>
    </row>
    <row r="26" spans="1:5" ht="33.75" customHeight="1">
      <c r="A26" s="187" t="s">
        <v>92</v>
      </c>
      <c r="B26" s="188"/>
      <c r="C26" s="188"/>
      <c r="D26" s="188"/>
      <c r="E26" s="189"/>
    </row>
    <row r="27" spans="1:5" ht="16.5" customHeight="1">
      <c r="A27" s="4" t="s">
        <v>11</v>
      </c>
      <c r="B27" s="3">
        <f>SUM(B6:B24)</f>
        <v>99.99999999999999</v>
      </c>
      <c r="C27" s="1"/>
      <c r="D27" s="1"/>
      <c r="E27" s="1"/>
    </row>
    <row r="28" spans="1:5" ht="16.5" customHeight="1">
      <c r="A28" s="12" t="s">
        <v>32</v>
      </c>
      <c r="B28" s="13">
        <f>(B7+B9*0.1+B10*0.4+B11+B15+B16+B17+B20*0.5+(B23+B24)*0.3)*100/E2</f>
        <v>57.150000000000006</v>
      </c>
      <c r="C28" s="14"/>
      <c r="D28" s="14"/>
      <c r="E28" s="14"/>
    </row>
    <row r="29" spans="1:5" ht="21.75" customHeight="1">
      <c r="A29" s="148" t="s">
        <v>45</v>
      </c>
      <c r="B29" s="148"/>
      <c r="C29" s="148" t="s">
        <v>12</v>
      </c>
      <c r="D29" s="148"/>
      <c r="E29" s="148"/>
    </row>
    <row r="30" spans="1:7" s="16" customFormat="1" ht="21.75" customHeight="1">
      <c r="A30" s="163" t="s">
        <v>33</v>
      </c>
      <c r="B30" s="163"/>
      <c r="C30" s="163"/>
      <c r="D30" s="163"/>
      <c r="E30" s="163"/>
      <c r="F30" s="15"/>
      <c r="G30" s="15"/>
    </row>
    <row r="31" spans="1:7" s="16" customFormat="1" ht="39" customHeight="1">
      <c r="A31" s="17" t="s">
        <v>13</v>
      </c>
      <c r="B31" s="159" t="s">
        <v>47</v>
      </c>
      <c r="C31" s="152"/>
      <c r="D31" s="151" t="s">
        <v>14</v>
      </c>
      <c r="E31" s="152"/>
      <c r="F31" s="18"/>
      <c r="G31" s="19"/>
    </row>
    <row r="32" spans="1:7" s="16" customFormat="1" ht="18" customHeight="1">
      <c r="A32" s="20" t="s">
        <v>4</v>
      </c>
      <c r="B32" s="197" t="s">
        <v>34</v>
      </c>
      <c r="C32" s="179"/>
      <c r="D32" s="178" t="s">
        <v>2</v>
      </c>
      <c r="E32" s="179"/>
      <c r="F32" s="18"/>
      <c r="G32" s="19"/>
    </row>
    <row r="33" spans="1:7" s="16" customFormat="1" ht="18" customHeight="1">
      <c r="A33" s="20" t="s">
        <v>35</v>
      </c>
      <c r="B33" s="197" t="s">
        <v>36</v>
      </c>
      <c r="C33" s="179"/>
      <c r="D33" s="178"/>
      <c r="E33" s="179"/>
      <c r="F33" s="18"/>
      <c r="G33" s="19"/>
    </row>
    <row r="34" spans="1:7" s="16" customFormat="1" ht="18" customHeight="1">
      <c r="A34" s="20" t="s">
        <v>16</v>
      </c>
      <c r="B34" s="198" t="s">
        <v>37</v>
      </c>
      <c r="C34" s="199"/>
      <c r="D34" s="178" t="s">
        <v>3</v>
      </c>
      <c r="E34" s="179"/>
      <c r="F34" s="18"/>
      <c r="G34" s="19"/>
    </row>
    <row r="35" spans="1:7" s="16" customFormat="1" ht="30" customHeight="1">
      <c r="A35" s="21" t="s">
        <v>38</v>
      </c>
      <c r="B35" s="198" t="s">
        <v>81</v>
      </c>
      <c r="C35" s="199"/>
      <c r="D35" s="178"/>
      <c r="E35" s="179"/>
      <c r="F35" s="18"/>
      <c r="G35" s="19"/>
    </row>
    <row r="36" spans="1:7" s="16" customFormat="1" ht="18" customHeight="1">
      <c r="A36" s="20" t="s">
        <v>17</v>
      </c>
      <c r="B36" s="198" t="s">
        <v>40</v>
      </c>
      <c r="C36" s="199"/>
      <c r="D36" s="178"/>
      <c r="E36" s="179"/>
      <c r="F36" s="18"/>
      <c r="G36" s="19"/>
    </row>
    <row r="37" spans="1:7" s="16" customFormat="1" ht="30" customHeight="1">
      <c r="A37" s="21" t="s">
        <v>41</v>
      </c>
      <c r="B37" s="198" t="s">
        <v>42</v>
      </c>
      <c r="C37" s="199"/>
      <c r="D37" s="178" t="s">
        <v>2</v>
      </c>
      <c r="E37" s="179"/>
      <c r="F37" s="18"/>
      <c r="G37" s="19"/>
    </row>
    <row r="38" spans="1:6" s="16" customFormat="1" ht="24" customHeight="1">
      <c r="A38" s="171" t="s">
        <v>15</v>
      </c>
      <c r="B38" s="171"/>
      <c r="C38" s="22"/>
      <c r="D38" s="23" t="s">
        <v>19</v>
      </c>
      <c r="E38" s="24" t="s">
        <v>114</v>
      </c>
      <c r="F38" s="25"/>
    </row>
  </sheetData>
  <sheetProtection password="CEFD" sheet="1" objects="1" scenarios="1" selectLockedCells="1"/>
  <mergeCells count="28">
    <mergeCell ref="C29:E29"/>
    <mergeCell ref="D37:E37"/>
    <mergeCell ref="D31:E31"/>
    <mergeCell ref="D32:E32"/>
    <mergeCell ref="D33:E33"/>
    <mergeCell ref="D36:E36"/>
    <mergeCell ref="D34:E34"/>
    <mergeCell ref="D35:E35"/>
    <mergeCell ref="A1:E1"/>
    <mergeCell ref="B31:C31"/>
    <mergeCell ref="A30:E30"/>
    <mergeCell ref="A13:E13"/>
    <mergeCell ref="A19:E19"/>
    <mergeCell ref="A26:E26"/>
    <mergeCell ref="A3:C3"/>
    <mergeCell ref="B2:C2"/>
    <mergeCell ref="A29:B29"/>
    <mergeCell ref="C24:E25"/>
    <mergeCell ref="D4:E4"/>
    <mergeCell ref="B4:C4"/>
    <mergeCell ref="A38:B38"/>
    <mergeCell ref="B32:C32"/>
    <mergeCell ref="B33:C33"/>
    <mergeCell ref="B36:C36"/>
    <mergeCell ref="B37:C37"/>
    <mergeCell ref="B34:C34"/>
    <mergeCell ref="B35:C35"/>
    <mergeCell ref="A8:E8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G40"/>
  <sheetViews>
    <sheetView showGridLines="0" zoomScale="75" zoomScaleNormal="75" zoomScalePageLayoutView="0" workbookViewId="0" topLeftCell="A1">
      <selection activeCell="E2" sqref="E2"/>
    </sheetView>
  </sheetViews>
  <sheetFormatPr defaultColWidth="9.00390625" defaultRowHeight="12.75"/>
  <cols>
    <col min="1" max="1" width="32.75390625" style="2" customWidth="1"/>
    <col min="2" max="5" width="14.75390625" style="2" customWidth="1"/>
    <col min="6" max="16384" width="9.125" style="2" customWidth="1"/>
  </cols>
  <sheetData>
    <row r="1" spans="1:5" ht="45" customHeight="1">
      <c r="A1" s="157" t="s">
        <v>121</v>
      </c>
      <c r="B1" s="180"/>
      <c r="C1" s="180"/>
      <c r="D1" s="180"/>
      <c r="E1" s="180"/>
    </row>
    <row r="2" spans="1:5" ht="20.2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18.75" customHeight="1">
      <c r="A3" s="160" t="s">
        <v>109</v>
      </c>
      <c r="B3" s="161"/>
      <c r="C3" s="162"/>
      <c r="D3" s="5" t="s">
        <v>21</v>
      </c>
      <c r="E3" s="9"/>
    </row>
    <row r="4" spans="1:5" ht="20.25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38.2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7" ht="18" customHeight="1">
      <c r="A6" s="29" t="s">
        <v>0</v>
      </c>
      <c r="B6" s="30">
        <f>E2-SUM(B7:B26)</f>
        <v>10.16000000000001</v>
      </c>
      <c r="C6" s="31"/>
      <c r="D6" s="31"/>
      <c r="E6" s="31"/>
      <c r="G6" s="58" t="s">
        <v>94</v>
      </c>
    </row>
    <row r="7" spans="1:7" ht="18" customHeight="1">
      <c r="A7" s="53" t="s">
        <v>93</v>
      </c>
      <c r="B7" s="54">
        <f>E2*0.2</f>
        <v>20</v>
      </c>
      <c r="C7" s="55"/>
      <c r="D7" s="55"/>
      <c r="E7" s="55"/>
      <c r="G7" s="57">
        <v>0.2</v>
      </c>
    </row>
    <row r="8" spans="1:5" ht="18" customHeight="1">
      <c r="A8" s="32" t="str">
        <f>'[2]Сырьё'!$B$13</f>
        <v>Cellosize ER-30M</v>
      </c>
      <c r="B8" s="51">
        <f>E2*0.0023</f>
        <v>0.22999999999999998</v>
      </c>
      <c r="C8" s="34"/>
      <c r="D8" s="34"/>
      <c r="E8" s="34"/>
    </row>
    <row r="9" spans="1:5" ht="17.25" customHeight="1">
      <c r="A9" s="184" t="s">
        <v>87</v>
      </c>
      <c r="B9" s="185"/>
      <c r="C9" s="185"/>
      <c r="D9" s="185"/>
      <c r="E9" s="186"/>
    </row>
    <row r="10" spans="1:5" ht="18" customHeight="1">
      <c r="A10" s="29" t="s">
        <v>30</v>
      </c>
      <c r="B10" s="30">
        <f>E2*0.015</f>
        <v>1.5</v>
      </c>
      <c r="C10" s="31"/>
      <c r="D10" s="31"/>
      <c r="E10" s="31"/>
    </row>
    <row r="11" spans="1:7" ht="18" customHeight="1">
      <c r="A11" s="35" t="str">
        <f>Сырьё!$B$5</f>
        <v>Диспергатор Opotan N4045</v>
      </c>
      <c r="B11" s="36">
        <f>E2*0.003</f>
        <v>0.3</v>
      </c>
      <c r="C11" s="37"/>
      <c r="D11" s="37"/>
      <c r="E11" s="37"/>
      <c r="G11" s="27"/>
    </row>
    <row r="12" spans="1:5" ht="18" customHeight="1">
      <c r="A12" s="35" t="s">
        <v>52</v>
      </c>
      <c r="B12" s="36">
        <f>E2*0.0001</f>
        <v>0.01</v>
      </c>
      <c r="C12" s="37"/>
      <c r="D12" s="37"/>
      <c r="E12" s="37"/>
    </row>
    <row r="13" spans="1:5" ht="18" customHeight="1">
      <c r="A13" s="35" t="s">
        <v>1</v>
      </c>
      <c r="B13" s="36">
        <f>E2*0.03</f>
        <v>3</v>
      </c>
      <c r="C13" s="37"/>
      <c r="D13" s="37"/>
      <c r="E13" s="37"/>
    </row>
    <row r="14" spans="1:5" ht="18" customHeight="1">
      <c r="A14" s="181" t="s">
        <v>86</v>
      </c>
      <c r="B14" s="182"/>
      <c r="C14" s="182"/>
      <c r="D14" s="182"/>
      <c r="E14" s="183"/>
    </row>
    <row r="15" spans="1:5" ht="18" customHeight="1">
      <c r="A15" s="53" t="s">
        <v>83</v>
      </c>
      <c r="B15" s="54">
        <f>E2*0.0005</f>
        <v>0.05</v>
      </c>
      <c r="C15" s="31"/>
      <c r="D15" s="31"/>
      <c r="E15" s="31"/>
    </row>
    <row r="16" spans="1:5" ht="18" customHeight="1">
      <c r="A16" s="61" t="str">
        <f>Сырьё!$B$8</f>
        <v>Lomon  R996</v>
      </c>
      <c r="B16" s="30">
        <f>E2*0.03</f>
        <v>3</v>
      </c>
      <c r="C16" s="31"/>
      <c r="D16" s="31"/>
      <c r="E16" s="31"/>
    </row>
    <row r="17" spans="1:5" ht="18" customHeight="1">
      <c r="A17" s="35" t="s">
        <v>112</v>
      </c>
      <c r="B17" s="36">
        <f>E2*0.4</f>
        <v>40</v>
      </c>
      <c r="C17" s="31"/>
      <c r="D17" s="31"/>
      <c r="E17" s="31"/>
    </row>
    <row r="18" spans="1:5" ht="18" customHeight="1">
      <c r="A18" s="35" t="s">
        <v>105</v>
      </c>
      <c r="B18" s="36">
        <f>E2*0.16</f>
        <v>16</v>
      </c>
      <c r="C18" s="31"/>
      <c r="D18" s="31"/>
      <c r="E18" s="31"/>
    </row>
    <row r="19" spans="1:5" ht="16.5" customHeight="1">
      <c r="A19" s="35" t="s">
        <v>80</v>
      </c>
      <c r="B19" s="36">
        <f>E2*0.005</f>
        <v>0.5</v>
      </c>
      <c r="C19" s="34"/>
      <c r="D19" s="34"/>
      <c r="E19" s="34"/>
    </row>
    <row r="20" spans="1:5" ht="17.25" customHeight="1">
      <c r="A20" s="184" t="s">
        <v>88</v>
      </c>
      <c r="B20" s="185"/>
      <c r="C20" s="185"/>
      <c r="D20" s="185"/>
      <c r="E20" s="186"/>
    </row>
    <row r="21" spans="1:5" ht="16.5" customHeight="1">
      <c r="A21" s="53" t="s">
        <v>83</v>
      </c>
      <c r="B21" s="54">
        <f>E2*0.001</f>
        <v>0.1</v>
      </c>
      <c r="C21" s="55"/>
      <c r="D21" s="55"/>
      <c r="E21" s="55"/>
    </row>
    <row r="22" spans="1:5" ht="18" customHeight="1">
      <c r="A22" s="29" t="str">
        <f>'[2]Сырьё'!$B$3</f>
        <v>DL-450</v>
      </c>
      <c r="B22" s="30">
        <f>E2*((6.3-G7*20)/50)</f>
        <v>4.6</v>
      </c>
      <c r="C22" s="38"/>
      <c r="D22" s="38"/>
      <c r="E22" s="38"/>
    </row>
    <row r="23" spans="1:5" ht="18" customHeight="1">
      <c r="A23" s="35" t="str">
        <f>'[2]Сырьё'!$B$7</f>
        <v>Консервант Acticide FI</v>
      </c>
      <c r="B23" s="36">
        <f>E2*0.002</f>
        <v>0.2</v>
      </c>
      <c r="C23" s="37"/>
      <c r="D23" s="37"/>
      <c r="E23" s="37"/>
    </row>
    <row r="24" spans="1:5" ht="15.75" customHeight="1">
      <c r="A24" s="35" t="s">
        <v>61</v>
      </c>
      <c r="B24" s="36">
        <f>E2*0.0005</f>
        <v>0.05</v>
      </c>
      <c r="C24" s="37"/>
      <c r="D24" s="37"/>
      <c r="E24" s="37"/>
    </row>
    <row r="25" spans="1:5" ht="18" customHeight="1">
      <c r="A25" s="35" t="str">
        <f>'[2]Сырьё'!$B$6</f>
        <v>Пеногаситель Serdas 7015</v>
      </c>
      <c r="B25" s="36">
        <f>E2*0.001</f>
        <v>0.1</v>
      </c>
      <c r="C25" s="37"/>
      <c r="D25" s="37"/>
      <c r="E25" s="37"/>
    </row>
    <row r="26" spans="1:5" ht="16.5" customHeight="1">
      <c r="A26" s="32" t="str">
        <f>'[2]Сырьё'!$B$14</f>
        <v>Загуститель Rheovis 112</v>
      </c>
      <c r="B26" s="33">
        <f>E2*0.002</f>
        <v>0.2</v>
      </c>
      <c r="C26" s="203" t="s">
        <v>85</v>
      </c>
      <c r="D26" s="204"/>
      <c r="E26" s="205"/>
    </row>
    <row r="27" spans="1:5" ht="16.5" customHeight="1">
      <c r="A27" s="32" t="s">
        <v>0</v>
      </c>
      <c r="B27" s="33">
        <f>E2*0.002</f>
        <v>0.2</v>
      </c>
      <c r="C27" s="206"/>
      <c r="D27" s="207"/>
      <c r="E27" s="208"/>
    </row>
    <row r="28" spans="1:5" ht="33" customHeight="1">
      <c r="A28" s="200" t="s">
        <v>53</v>
      </c>
      <c r="B28" s="201"/>
      <c r="C28" s="201"/>
      <c r="D28" s="201"/>
      <c r="E28" s="202"/>
    </row>
    <row r="29" spans="1:5" ht="18" customHeight="1">
      <c r="A29" s="4" t="s">
        <v>11</v>
      </c>
      <c r="B29" s="3">
        <f>SUM(B6:B26)</f>
        <v>99.99999999999999</v>
      </c>
      <c r="C29" s="1"/>
      <c r="D29" s="1"/>
      <c r="E29" s="1"/>
    </row>
    <row r="30" spans="1:5" ht="21.75" customHeight="1">
      <c r="A30" s="12" t="s">
        <v>32</v>
      </c>
      <c r="B30" s="13">
        <f>(B7*G7+B8+B10*0.1+B11*0.4+B12+B18+B19+B22*0.5+(B25+B26)*0.3)*100/E2</f>
        <v>23.4</v>
      </c>
      <c r="C30" s="14"/>
      <c r="D30" s="14"/>
      <c r="E30" s="14"/>
    </row>
    <row r="31" spans="1:5" ht="12" customHeight="1">
      <c r="A31" s="148" t="s">
        <v>45</v>
      </c>
      <c r="B31" s="148"/>
      <c r="C31" s="148" t="s">
        <v>12</v>
      </c>
      <c r="D31" s="148"/>
      <c r="E31" s="148"/>
    </row>
    <row r="32" spans="1:7" s="16" customFormat="1" ht="17.25" customHeight="1">
      <c r="A32" s="163" t="s">
        <v>33</v>
      </c>
      <c r="B32" s="163"/>
      <c r="C32" s="163"/>
      <c r="D32" s="163"/>
      <c r="E32" s="163"/>
      <c r="F32" s="15"/>
      <c r="G32" s="15"/>
    </row>
    <row r="33" spans="1:7" s="16" customFormat="1" ht="36" customHeight="1">
      <c r="A33" s="17" t="s">
        <v>13</v>
      </c>
      <c r="B33" s="159" t="s">
        <v>47</v>
      </c>
      <c r="C33" s="152"/>
      <c r="D33" s="151" t="s">
        <v>14</v>
      </c>
      <c r="E33" s="152"/>
      <c r="F33" s="18"/>
      <c r="G33" s="19"/>
    </row>
    <row r="34" spans="1:7" s="16" customFormat="1" ht="18" customHeight="1">
      <c r="A34" s="20" t="s">
        <v>4</v>
      </c>
      <c r="B34" s="197" t="s">
        <v>34</v>
      </c>
      <c r="C34" s="179"/>
      <c r="D34" s="178" t="s">
        <v>2</v>
      </c>
      <c r="E34" s="179"/>
      <c r="F34" s="18"/>
      <c r="G34" s="19"/>
    </row>
    <row r="35" spans="1:7" s="16" customFormat="1" ht="18" customHeight="1">
      <c r="A35" s="20" t="s">
        <v>35</v>
      </c>
      <c r="B35" s="197" t="s">
        <v>36</v>
      </c>
      <c r="C35" s="179"/>
      <c r="D35" s="178"/>
      <c r="E35" s="179"/>
      <c r="F35" s="18"/>
      <c r="G35" s="19"/>
    </row>
    <row r="36" spans="1:7" s="16" customFormat="1" ht="18" customHeight="1">
      <c r="A36" s="20" t="s">
        <v>16</v>
      </c>
      <c r="B36" s="198" t="s">
        <v>37</v>
      </c>
      <c r="C36" s="199"/>
      <c r="D36" s="178" t="s">
        <v>3</v>
      </c>
      <c r="E36" s="179"/>
      <c r="F36" s="18"/>
      <c r="G36" s="19"/>
    </row>
    <row r="37" spans="1:7" s="16" customFormat="1" ht="30" customHeight="1">
      <c r="A37" s="21" t="s">
        <v>38</v>
      </c>
      <c r="B37" s="198" t="s">
        <v>81</v>
      </c>
      <c r="C37" s="199"/>
      <c r="D37" s="178"/>
      <c r="E37" s="179"/>
      <c r="F37" s="18"/>
      <c r="G37" s="19"/>
    </row>
    <row r="38" spans="1:7" s="16" customFormat="1" ht="18" customHeight="1">
      <c r="A38" s="20" t="s">
        <v>17</v>
      </c>
      <c r="B38" s="198" t="s">
        <v>40</v>
      </c>
      <c r="C38" s="199"/>
      <c r="D38" s="178"/>
      <c r="E38" s="179"/>
      <c r="F38" s="18"/>
      <c r="G38" s="19"/>
    </row>
    <row r="39" spans="1:7" s="16" customFormat="1" ht="27" customHeight="1">
      <c r="A39" s="21" t="s">
        <v>41</v>
      </c>
      <c r="B39" s="198" t="s">
        <v>42</v>
      </c>
      <c r="C39" s="199"/>
      <c r="D39" s="178" t="s">
        <v>2</v>
      </c>
      <c r="E39" s="179"/>
      <c r="F39" s="18"/>
      <c r="G39" s="19"/>
    </row>
    <row r="40" spans="1:6" s="16" customFormat="1" ht="24" customHeight="1">
      <c r="A40" s="171" t="s">
        <v>15</v>
      </c>
      <c r="B40" s="171"/>
      <c r="C40" s="22"/>
      <c r="D40" s="23" t="s">
        <v>19</v>
      </c>
      <c r="E40" s="24" t="s">
        <v>110</v>
      </c>
      <c r="F40" s="25"/>
    </row>
  </sheetData>
  <sheetProtection password="CEFD" sheet="1" objects="1" scenarios="1" selectLockedCells="1"/>
  <mergeCells count="28">
    <mergeCell ref="C31:E31"/>
    <mergeCell ref="A40:B40"/>
    <mergeCell ref="B34:C34"/>
    <mergeCell ref="B35:C35"/>
    <mergeCell ref="B38:C38"/>
    <mergeCell ref="B39:C39"/>
    <mergeCell ref="B36:C36"/>
    <mergeCell ref="B37:C37"/>
    <mergeCell ref="A1:E1"/>
    <mergeCell ref="B33:C33"/>
    <mergeCell ref="A32:E32"/>
    <mergeCell ref="A20:E20"/>
    <mergeCell ref="A28:E28"/>
    <mergeCell ref="A3:C3"/>
    <mergeCell ref="B2:C2"/>
    <mergeCell ref="A31:B31"/>
    <mergeCell ref="A9:E9"/>
    <mergeCell ref="C26:E27"/>
    <mergeCell ref="D4:E4"/>
    <mergeCell ref="D39:E39"/>
    <mergeCell ref="D33:E33"/>
    <mergeCell ref="D34:E34"/>
    <mergeCell ref="D35:E35"/>
    <mergeCell ref="D38:E38"/>
    <mergeCell ref="D36:E36"/>
    <mergeCell ref="D37:E37"/>
    <mergeCell ref="A14:E14"/>
    <mergeCell ref="B4:C4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G38"/>
  <sheetViews>
    <sheetView showGridLines="0" zoomScale="75" zoomScaleNormal="75" zoomScalePageLayoutView="0" workbookViewId="0" topLeftCell="A1">
      <selection activeCell="E2" sqref="E2"/>
    </sheetView>
  </sheetViews>
  <sheetFormatPr defaultColWidth="9.00390625" defaultRowHeight="12.75"/>
  <cols>
    <col min="1" max="1" width="33.875" style="2" customWidth="1"/>
    <col min="2" max="2" width="14.75390625" style="2" customWidth="1"/>
    <col min="3" max="3" width="13.125" style="2" customWidth="1"/>
    <col min="4" max="5" width="14.75390625" style="2" customWidth="1"/>
    <col min="6" max="16384" width="9.125" style="2" customWidth="1"/>
  </cols>
  <sheetData>
    <row r="1" spans="1:5" ht="45" customHeight="1">
      <c r="A1" s="157" t="s">
        <v>117</v>
      </c>
      <c r="B1" s="180"/>
      <c r="C1" s="180"/>
      <c r="D1" s="180"/>
      <c r="E1" s="180"/>
    </row>
    <row r="2" spans="1:5" ht="18.7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18.75" customHeight="1">
      <c r="A3" s="160" t="s">
        <v>29</v>
      </c>
      <c r="B3" s="161"/>
      <c r="C3" s="162"/>
      <c r="D3" s="5" t="s">
        <v>21</v>
      </c>
      <c r="E3" s="9"/>
    </row>
    <row r="4" spans="1:5" ht="18.75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42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5" ht="15.75" customHeight="1">
      <c r="A6" s="29" t="s">
        <v>0</v>
      </c>
      <c r="B6" s="30">
        <f>E2-SUM(B7:B24)</f>
        <v>22.310000000000002</v>
      </c>
      <c r="C6" s="31"/>
      <c r="D6" s="31"/>
      <c r="E6" s="31"/>
    </row>
    <row r="7" spans="1:5" ht="15.75" customHeight="1">
      <c r="A7" s="32" t="str">
        <f>Сырьё!$B$16</f>
        <v>Polycol  WP-20B</v>
      </c>
      <c r="B7" s="51">
        <f>IF(A7="Walocel XM 6000 PV",E2*0.003,IF(A7="Walocel XM 20000 PV",E2*0.0023,E2*0.0023))</f>
        <v>0.22999999999999998</v>
      </c>
      <c r="C7" s="34"/>
      <c r="D7" s="34"/>
      <c r="E7" s="34"/>
    </row>
    <row r="8" spans="1:5" ht="17.25" customHeight="1">
      <c r="A8" s="184" t="s">
        <v>90</v>
      </c>
      <c r="B8" s="185"/>
      <c r="C8" s="185"/>
      <c r="D8" s="185"/>
      <c r="E8" s="186"/>
    </row>
    <row r="9" spans="1:5" ht="15.75" customHeight="1">
      <c r="A9" s="29" t="s">
        <v>30</v>
      </c>
      <c r="B9" s="30">
        <f>E2*0.015</f>
        <v>1.5</v>
      </c>
      <c r="C9" s="31"/>
      <c r="D9" s="31"/>
      <c r="E9" s="31"/>
    </row>
    <row r="10" spans="1:5" ht="15.75" customHeight="1">
      <c r="A10" s="35" t="str">
        <f>Сырьё!$B$5</f>
        <v>Диспергатор Opotan N4045</v>
      </c>
      <c r="B10" s="36">
        <f>E2*0.003</f>
        <v>0.3</v>
      </c>
      <c r="C10" s="37"/>
      <c r="D10" s="37"/>
      <c r="E10" s="37"/>
    </row>
    <row r="11" spans="1:5" ht="15.75" customHeight="1">
      <c r="A11" s="35" t="s">
        <v>52</v>
      </c>
      <c r="B11" s="50">
        <f>E2*0.0001</f>
        <v>0.01</v>
      </c>
      <c r="C11" s="37"/>
      <c r="D11" s="37"/>
      <c r="E11" s="37"/>
    </row>
    <row r="12" spans="1:5" ht="15.75" customHeight="1">
      <c r="A12" s="35" t="s">
        <v>1</v>
      </c>
      <c r="B12" s="36">
        <f>E2*0.03</f>
        <v>3</v>
      </c>
      <c r="C12" s="37"/>
      <c r="D12" s="37"/>
      <c r="E12" s="37"/>
    </row>
    <row r="13" spans="1:5" ht="15.75" customHeight="1">
      <c r="A13" s="181" t="s">
        <v>86</v>
      </c>
      <c r="B13" s="182"/>
      <c r="C13" s="182"/>
      <c r="D13" s="182"/>
      <c r="E13" s="183"/>
    </row>
    <row r="14" spans="1:5" ht="15.75" customHeight="1">
      <c r="A14" s="53" t="s">
        <v>83</v>
      </c>
      <c r="B14" s="54">
        <f>E2*0.0005</f>
        <v>0.05</v>
      </c>
      <c r="C14" s="55"/>
      <c r="D14" s="55"/>
      <c r="E14" s="55"/>
    </row>
    <row r="15" spans="1:5" ht="15.75" customHeight="1">
      <c r="A15" s="29" t="str">
        <f>Сырьё!$B$8</f>
        <v>Lomon  R996</v>
      </c>
      <c r="B15" s="30">
        <f>E2*0.03</f>
        <v>3</v>
      </c>
      <c r="C15" s="31"/>
      <c r="D15" s="31"/>
      <c r="E15" s="31"/>
    </row>
    <row r="16" spans="1:5" ht="15.75" customHeight="1">
      <c r="A16" s="35" t="str">
        <f>Сырьё!B9</f>
        <v>Omyacarb 2-UR</v>
      </c>
      <c r="B16" s="36">
        <f>E2*0.4</f>
        <v>40</v>
      </c>
      <c r="C16" s="37"/>
      <c r="D16" s="37"/>
      <c r="E16" s="37"/>
    </row>
    <row r="17" spans="1:5" ht="15.75" customHeight="1">
      <c r="A17" s="35" t="s">
        <v>105</v>
      </c>
      <c r="B17" s="36">
        <f>E2*0.16</f>
        <v>16</v>
      </c>
      <c r="C17" s="37"/>
      <c r="D17" s="37"/>
      <c r="E17" s="37"/>
    </row>
    <row r="18" spans="1:5" ht="15.75" customHeight="1">
      <c r="A18" s="35" t="str">
        <f>Сырьё!B18</f>
        <v>Nextcoat 795</v>
      </c>
      <c r="B18" s="36">
        <f>E2*0.005</f>
        <v>0.5</v>
      </c>
      <c r="C18" s="37"/>
      <c r="D18" s="37"/>
      <c r="E18" s="37"/>
    </row>
    <row r="19" spans="1:5" ht="17.25" customHeight="1">
      <c r="A19" s="184" t="s">
        <v>89</v>
      </c>
      <c r="B19" s="185"/>
      <c r="C19" s="185"/>
      <c r="D19" s="185"/>
      <c r="E19" s="186"/>
    </row>
    <row r="20" spans="1:5" ht="15.75" customHeight="1">
      <c r="A20" s="29" t="s">
        <v>97</v>
      </c>
      <c r="B20" s="30">
        <f>E2*0.126</f>
        <v>12.6</v>
      </c>
      <c r="C20" s="38"/>
      <c r="D20" s="38"/>
      <c r="E20" s="38"/>
    </row>
    <row r="21" spans="1:5" ht="15.75" customHeight="1">
      <c r="A21" s="35" t="str">
        <f>Сырьё!$B$7</f>
        <v>Консервант Acticide FI</v>
      </c>
      <c r="B21" s="36">
        <f>E2*0.002</f>
        <v>0.2</v>
      </c>
      <c r="C21" s="37"/>
      <c r="D21" s="37"/>
      <c r="E21" s="37"/>
    </row>
    <row r="22" spans="1:5" ht="15.75" customHeight="1">
      <c r="A22" s="35" t="s">
        <v>61</v>
      </c>
      <c r="B22" s="36">
        <f>E2*0.0005</f>
        <v>0.05</v>
      </c>
      <c r="C22" s="37"/>
      <c r="D22" s="37"/>
      <c r="E22" s="37"/>
    </row>
    <row r="23" spans="1:5" ht="15.75" customHeight="1">
      <c r="A23" s="35" t="str">
        <f>Сырьё!$B$6</f>
        <v>Пеногаситель Contrapen PR-194</v>
      </c>
      <c r="B23" s="36">
        <f>E2*0.0015</f>
        <v>0.15</v>
      </c>
      <c r="C23" s="37"/>
      <c r="D23" s="37"/>
      <c r="E23" s="37"/>
    </row>
    <row r="24" spans="1:5" ht="15.75" customHeight="1">
      <c r="A24" s="32" t="str">
        <f>Сырьё!$B$17</f>
        <v>Загуститель Rheovis 112</v>
      </c>
      <c r="B24" s="33">
        <f>E2*0.001</f>
        <v>0.1</v>
      </c>
      <c r="C24" s="190" t="s">
        <v>91</v>
      </c>
      <c r="D24" s="191"/>
      <c r="E24" s="192"/>
    </row>
    <row r="25" spans="1:5" ht="15.75" customHeight="1">
      <c r="A25" s="32" t="s">
        <v>0</v>
      </c>
      <c r="B25" s="33">
        <f>E2*0.001</f>
        <v>0.1</v>
      </c>
      <c r="C25" s="193"/>
      <c r="D25" s="194"/>
      <c r="E25" s="195"/>
    </row>
    <row r="26" spans="1:5" ht="31.5" customHeight="1">
      <c r="A26" s="187" t="s">
        <v>92</v>
      </c>
      <c r="B26" s="188"/>
      <c r="C26" s="188"/>
      <c r="D26" s="188"/>
      <c r="E26" s="189"/>
    </row>
    <row r="27" spans="1:5" ht="15.75" customHeight="1">
      <c r="A27" s="4" t="s">
        <v>11</v>
      </c>
      <c r="B27" s="3">
        <f>SUM(B6:B24)</f>
        <v>100</v>
      </c>
      <c r="C27" s="1"/>
      <c r="D27" s="1"/>
      <c r="E27" s="1"/>
    </row>
    <row r="28" spans="1:5" ht="18" customHeight="1">
      <c r="A28" s="12" t="s">
        <v>32</v>
      </c>
      <c r="B28" s="13">
        <f>(B7+B9*0.1+B10*0.4+B11+B15+B16+B17+B20*0.5+(B14+B23+B24)*0.3)*100/E2</f>
        <v>65.9</v>
      </c>
      <c r="C28" s="14"/>
      <c r="D28" s="14"/>
      <c r="E28" s="14"/>
    </row>
    <row r="29" spans="1:5" ht="18" customHeight="1">
      <c r="A29" s="148" t="s">
        <v>45</v>
      </c>
      <c r="B29" s="148"/>
      <c r="C29" s="148" t="s">
        <v>12</v>
      </c>
      <c r="D29" s="148"/>
      <c r="E29" s="148"/>
    </row>
    <row r="30" spans="1:7" s="16" customFormat="1" ht="15.75" customHeight="1">
      <c r="A30" s="163" t="s">
        <v>33</v>
      </c>
      <c r="B30" s="163"/>
      <c r="C30" s="163"/>
      <c r="D30" s="163"/>
      <c r="E30" s="163"/>
      <c r="F30" s="15"/>
      <c r="G30" s="15"/>
    </row>
    <row r="31" spans="1:7" s="16" customFormat="1" ht="42" customHeight="1">
      <c r="A31" s="17" t="s">
        <v>13</v>
      </c>
      <c r="B31" s="159" t="s">
        <v>47</v>
      </c>
      <c r="C31" s="152"/>
      <c r="D31" s="151" t="s">
        <v>14</v>
      </c>
      <c r="E31" s="152"/>
      <c r="F31" s="18"/>
      <c r="G31" s="19"/>
    </row>
    <row r="32" spans="1:7" s="16" customFormat="1" ht="18" customHeight="1">
      <c r="A32" s="20" t="s">
        <v>4</v>
      </c>
      <c r="B32" s="197" t="s">
        <v>34</v>
      </c>
      <c r="C32" s="179"/>
      <c r="D32" s="178" t="s">
        <v>2</v>
      </c>
      <c r="E32" s="179"/>
      <c r="F32" s="18"/>
      <c r="G32" s="19"/>
    </row>
    <row r="33" spans="1:7" s="16" customFormat="1" ht="18" customHeight="1">
      <c r="A33" s="20" t="s">
        <v>35</v>
      </c>
      <c r="B33" s="197" t="s">
        <v>36</v>
      </c>
      <c r="C33" s="179"/>
      <c r="D33" s="178"/>
      <c r="E33" s="179"/>
      <c r="F33" s="18"/>
      <c r="G33" s="19"/>
    </row>
    <row r="34" spans="1:7" s="16" customFormat="1" ht="18" customHeight="1">
      <c r="A34" s="20" t="s">
        <v>16</v>
      </c>
      <c r="B34" s="198" t="s">
        <v>37</v>
      </c>
      <c r="C34" s="199"/>
      <c r="D34" s="178" t="s">
        <v>3</v>
      </c>
      <c r="E34" s="179"/>
      <c r="F34" s="18"/>
      <c r="G34" s="19"/>
    </row>
    <row r="35" spans="1:7" s="16" customFormat="1" ht="30" customHeight="1">
      <c r="A35" s="21" t="s">
        <v>38</v>
      </c>
      <c r="B35" s="198" t="s">
        <v>81</v>
      </c>
      <c r="C35" s="199"/>
      <c r="D35" s="178"/>
      <c r="E35" s="179"/>
      <c r="F35" s="18"/>
      <c r="G35" s="19"/>
    </row>
    <row r="36" spans="1:7" s="16" customFormat="1" ht="18" customHeight="1">
      <c r="A36" s="20" t="s">
        <v>17</v>
      </c>
      <c r="B36" s="198" t="s">
        <v>40</v>
      </c>
      <c r="C36" s="199"/>
      <c r="D36" s="178"/>
      <c r="E36" s="179"/>
      <c r="F36" s="18"/>
      <c r="G36" s="19"/>
    </row>
    <row r="37" spans="1:7" s="16" customFormat="1" ht="30" customHeight="1">
      <c r="A37" s="21" t="s">
        <v>41</v>
      </c>
      <c r="B37" s="198" t="s">
        <v>42</v>
      </c>
      <c r="C37" s="199"/>
      <c r="D37" s="178" t="s">
        <v>2</v>
      </c>
      <c r="E37" s="179"/>
      <c r="F37" s="18"/>
      <c r="G37" s="19"/>
    </row>
    <row r="38" spans="1:6" s="16" customFormat="1" ht="21" customHeight="1">
      <c r="A38" s="171" t="s">
        <v>15</v>
      </c>
      <c r="B38" s="171"/>
      <c r="C38" s="22"/>
      <c r="D38" s="23" t="s">
        <v>19</v>
      </c>
      <c r="E38" s="24" t="s">
        <v>114</v>
      </c>
      <c r="F38" s="25"/>
    </row>
  </sheetData>
  <sheetProtection password="CEFD" sheet="1" objects="1" scenarios="1" selectLockedCells="1"/>
  <mergeCells count="28">
    <mergeCell ref="D4:E4"/>
    <mergeCell ref="B4:C4"/>
    <mergeCell ref="A38:B38"/>
    <mergeCell ref="B32:C32"/>
    <mergeCell ref="B33:C33"/>
    <mergeCell ref="B36:C36"/>
    <mergeCell ref="B37:C37"/>
    <mergeCell ref="B34:C34"/>
    <mergeCell ref="B35:C35"/>
    <mergeCell ref="C24:E25"/>
    <mergeCell ref="A1:E1"/>
    <mergeCell ref="B31:C31"/>
    <mergeCell ref="A30:E30"/>
    <mergeCell ref="A19:E19"/>
    <mergeCell ref="A26:E26"/>
    <mergeCell ref="A3:C3"/>
    <mergeCell ref="B2:C2"/>
    <mergeCell ref="A29:B29"/>
    <mergeCell ref="A8:E8"/>
    <mergeCell ref="A13:E13"/>
    <mergeCell ref="C29:E29"/>
    <mergeCell ref="D37:E37"/>
    <mergeCell ref="D31:E31"/>
    <mergeCell ref="D32:E32"/>
    <mergeCell ref="D33:E33"/>
    <mergeCell ref="D36:E36"/>
    <mergeCell ref="D34:E34"/>
    <mergeCell ref="D35:E35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G38"/>
  <sheetViews>
    <sheetView showGridLines="0" zoomScale="75" zoomScaleNormal="75" zoomScalePageLayoutView="0" workbookViewId="0" topLeftCell="A1">
      <selection activeCell="B7" sqref="B7"/>
    </sheetView>
  </sheetViews>
  <sheetFormatPr defaultColWidth="9.00390625" defaultRowHeight="12.75"/>
  <cols>
    <col min="1" max="1" width="32.75390625" style="2" customWidth="1"/>
    <col min="2" max="5" width="14.75390625" style="2" customWidth="1"/>
    <col min="6" max="16384" width="9.125" style="2" customWidth="1"/>
  </cols>
  <sheetData>
    <row r="1" spans="1:5" ht="41.25" customHeight="1">
      <c r="A1" s="157" t="s">
        <v>142</v>
      </c>
      <c r="B1" s="180"/>
      <c r="C1" s="180"/>
      <c r="D1" s="180"/>
      <c r="E1" s="180"/>
    </row>
    <row r="2" spans="1:5" ht="18.7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18" customHeight="1">
      <c r="A3" s="160" t="s">
        <v>29</v>
      </c>
      <c r="B3" s="161"/>
      <c r="C3" s="162"/>
      <c r="D3" s="5" t="s">
        <v>21</v>
      </c>
      <c r="E3" s="9"/>
    </row>
    <row r="4" spans="1:5" ht="18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32.2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5" ht="15.75" customHeight="1">
      <c r="A6" s="29" t="s">
        <v>0</v>
      </c>
      <c r="B6" s="30">
        <f>E2-SUM(B7:B24)</f>
        <v>18.090000000000003</v>
      </c>
      <c r="C6" s="31"/>
      <c r="D6" s="31"/>
      <c r="E6" s="31"/>
    </row>
    <row r="7" spans="1:5" ht="15.75" customHeight="1">
      <c r="A7" s="32" t="str">
        <f>Сырьё!B16</f>
        <v>Polycol  WP-20B</v>
      </c>
      <c r="B7" s="33">
        <f>E2*0.0025</f>
        <v>0.25</v>
      </c>
      <c r="C7" s="34"/>
      <c r="D7" s="34"/>
      <c r="E7" s="34"/>
    </row>
    <row r="8" spans="1:5" ht="21" customHeight="1">
      <c r="A8" s="184" t="s">
        <v>90</v>
      </c>
      <c r="B8" s="185"/>
      <c r="C8" s="185"/>
      <c r="D8" s="185"/>
      <c r="E8" s="186"/>
    </row>
    <row r="9" spans="1:5" ht="15.75" customHeight="1">
      <c r="A9" s="29" t="s">
        <v>30</v>
      </c>
      <c r="B9" s="30">
        <f>E2*0.015</f>
        <v>1.5</v>
      </c>
      <c r="C9" s="31"/>
      <c r="D9" s="31"/>
      <c r="E9" s="31"/>
    </row>
    <row r="10" spans="1:5" ht="15.75" customHeight="1">
      <c r="A10" s="59" t="str">
        <f>Сырьё!B5</f>
        <v>Диспергатор Opotan N4045</v>
      </c>
      <c r="B10" s="36">
        <f>E2*0.0015</f>
        <v>0.15</v>
      </c>
      <c r="C10" s="37"/>
      <c r="D10" s="37"/>
      <c r="E10" s="37"/>
    </row>
    <row r="11" spans="1:5" ht="15.75" customHeight="1">
      <c r="A11" s="35" t="s">
        <v>52</v>
      </c>
      <c r="B11" s="36">
        <f>E2*0.0001</f>
        <v>0.01</v>
      </c>
      <c r="C11" s="37"/>
      <c r="D11" s="37"/>
      <c r="E11" s="37"/>
    </row>
    <row r="12" spans="1:5" ht="15.75" customHeight="1">
      <c r="A12" s="35" t="s">
        <v>1</v>
      </c>
      <c r="B12" s="36">
        <f>E2*0.05</f>
        <v>5</v>
      </c>
      <c r="C12" s="37"/>
      <c r="D12" s="37"/>
      <c r="E12" s="37"/>
    </row>
    <row r="13" spans="1:5" ht="15.75" customHeight="1">
      <c r="A13" s="35" t="s">
        <v>147</v>
      </c>
      <c r="B13" s="36">
        <f>E2*0.02</f>
        <v>2</v>
      </c>
      <c r="C13" s="37"/>
      <c r="D13" s="37"/>
      <c r="E13" s="37"/>
    </row>
    <row r="14" spans="1:5" ht="21" customHeight="1">
      <c r="A14" s="181" t="s">
        <v>86</v>
      </c>
      <c r="B14" s="182"/>
      <c r="C14" s="182"/>
      <c r="D14" s="182"/>
      <c r="E14" s="183"/>
    </row>
    <row r="15" spans="1:5" ht="15.75" customHeight="1">
      <c r="A15" s="61" t="str">
        <f>'[1]Сырьё'!$B$8</f>
        <v>Двуокись титана Cronos 2190</v>
      </c>
      <c r="B15" s="30">
        <f>E2*0.03</f>
        <v>3</v>
      </c>
      <c r="C15" s="31"/>
      <c r="D15" s="31"/>
      <c r="E15" s="31"/>
    </row>
    <row r="16" spans="1:5" ht="15.75" customHeight="1">
      <c r="A16" s="35" t="str">
        <f>'[1]Сырьё'!B9</f>
        <v>Omyacarb 2X-KР</v>
      </c>
      <c r="B16" s="36">
        <f>E2*0.4</f>
        <v>40</v>
      </c>
      <c r="C16" s="37"/>
      <c r="D16" s="37"/>
      <c r="E16" s="37"/>
    </row>
    <row r="17" spans="1:5" ht="15.75" customHeight="1">
      <c r="A17" s="35" t="s">
        <v>50</v>
      </c>
      <c r="B17" s="36">
        <f>E2*0.15</f>
        <v>15</v>
      </c>
      <c r="C17" s="37"/>
      <c r="D17" s="37"/>
      <c r="E17" s="37"/>
    </row>
    <row r="18" spans="1:5" ht="21" customHeight="1">
      <c r="A18" s="184" t="s">
        <v>89</v>
      </c>
      <c r="B18" s="185"/>
      <c r="C18" s="185"/>
      <c r="D18" s="185"/>
      <c r="E18" s="186"/>
    </row>
    <row r="19" spans="1:5" ht="15.75" customHeight="1">
      <c r="A19" s="35" t="str">
        <f>'[1]Сырьё'!B15</f>
        <v>Nextcoat 795</v>
      </c>
      <c r="B19" s="36">
        <f>E2*0.005</f>
        <v>0.5</v>
      </c>
      <c r="C19" s="37"/>
      <c r="D19" s="37"/>
      <c r="E19" s="37"/>
    </row>
    <row r="20" spans="1:5" ht="15.75" customHeight="1">
      <c r="A20" s="29" t="s">
        <v>148</v>
      </c>
      <c r="B20" s="30">
        <f>E2*0.14</f>
        <v>14.000000000000002</v>
      </c>
      <c r="C20" s="38"/>
      <c r="D20" s="38"/>
      <c r="E20" s="38"/>
    </row>
    <row r="21" spans="1:5" ht="15.75" customHeight="1">
      <c r="A21" s="35" t="str">
        <f>'[1]Сырьё'!$B$7</f>
        <v>Консервант Acticide FI</v>
      </c>
      <c r="B21" s="36">
        <f>E2*0.002</f>
        <v>0.2</v>
      </c>
      <c r="C21" s="37"/>
      <c r="D21" s="37"/>
      <c r="E21" s="37"/>
    </row>
    <row r="22" spans="1:5" ht="15.75" customHeight="1">
      <c r="A22" s="35" t="s">
        <v>61</v>
      </c>
      <c r="B22" s="36">
        <f>E2*0.0005</f>
        <v>0.05</v>
      </c>
      <c r="C22" s="37"/>
      <c r="D22" s="37"/>
      <c r="E22" s="37"/>
    </row>
    <row r="23" spans="1:5" ht="15.75" customHeight="1">
      <c r="A23" s="35" t="str">
        <f>'[1]Сырьё'!$B$6</f>
        <v>Пеногаситель Serdas 7015</v>
      </c>
      <c r="B23" s="36">
        <f>E2*0.001</f>
        <v>0.1</v>
      </c>
      <c r="C23" s="37"/>
      <c r="D23" s="37"/>
      <c r="E23" s="37"/>
    </row>
    <row r="24" spans="1:5" ht="15.75" customHeight="1">
      <c r="A24" s="32" t="str">
        <f>Сырьё!B17</f>
        <v>Загуститель Rheovis 112</v>
      </c>
      <c r="B24" s="33">
        <f>E2*0.0015</f>
        <v>0.15</v>
      </c>
      <c r="C24" s="190" t="s">
        <v>91</v>
      </c>
      <c r="D24" s="191"/>
      <c r="E24" s="192"/>
    </row>
    <row r="25" spans="1:5" ht="15.75" customHeight="1">
      <c r="A25" s="72" t="s">
        <v>0</v>
      </c>
      <c r="B25" s="33">
        <f>E2*0.0015</f>
        <v>0.15</v>
      </c>
      <c r="C25" s="193"/>
      <c r="D25" s="194"/>
      <c r="E25" s="195"/>
    </row>
    <row r="26" spans="1:5" ht="30.75" customHeight="1">
      <c r="A26" s="187" t="s">
        <v>92</v>
      </c>
      <c r="B26" s="188"/>
      <c r="C26" s="188"/>
      <c r="D26" s="188"/>
      <c r="E26" s="189"/>
    </row>
    <row r="27" spans="1:5" ht="15.75" customHeight="1">
      <c r="A27" s="4" t="s">
        <v>11</v>
      </c>
      <c r="B27" s="3">
        <f>SUM(B6:B24)</f>
        <v>100</v>
      </c>
      <c r="C27" s="1"/>
      <c r="D27" s="1"/>
      <c r="E27" s="1"/>
    </row>
    <row r="28" spans="1:5" ht="18" customHeight="1">
      <c r="A28" s="12" t="s">
        <v>32</v>
      </c>
      <c r="B28" s="13">
        <f>(B7+B9*0.1+B10*0.4+B11+B15+B16+B17+B20*0.5+(B23+B24)*0.3)*100/E2</f>
        <v>65.545</v>
      </c>
      <c r="C28" s="14"/>
      <c r="D28" s="14"/>
      <c r="E28" s="14"/>
    </row>
    <row r="29" spans="1:5" ht="20.25" customHeight="1">
      <c r="A29" s="148" t="s">
        <v>45</v>
      </c>
      <c r="B29" s="148"/>
      <c r="C29" s="148" t="s">
        <v>12</v>
      </c>
      <c r="D29" s="148"/>
      <c r="E29" s="148"/>
    </row>
    <row r="30" spans="1:7" s="16" customFormat="1" ht="20.25" customHeight="1">
      <c r="A30" s="163" t="s">
        <v>33</v>
      </c>
      <c r="B30" s="163"/>
      <c r="C30" s="163"/>
      <c r="D30" s="163"/>
      <c r="E30" s="163"/>
      <c r="F30" s="15"/>
      <c r="G30" s="15"/>
    </row>
    <row r="31" spans="1:7" s="16" customFormat="1" ht="39" customHeight="1">
      <c r="A31" s="17" t="s">
        <v>13</v>
      </c>
      <c r="B31" s="159" t="s">
        <v>47</v>
      </c>
      <c r="C31" s="152"/>
      <c r="D31" s="151" t="s">
        <v>14</v>
      </c>
      <c r="E31" s="152"/>
      <c r="F31" s="18"/>
      <c r="G31" s="19"/>
    </row>
    <row r="32" spans="1:7" s="16" customFormat="1" ht="18" customHeight="1">
      <c r="A32" s="20" t="s">
        <v>4</v>
      </c>
      <c r="B32" s="197" t="s">
        <v>34</v>
      </c>
      <c r="C32" s="179"/>
      <c r="D32" s="178" t="s">
        <v>2</v>
      </c>
      <c r="E32" s="179"/>
      <c r="F32" s="18"/>
      <c r="G32" s="19"/>
    </row>
    <row r="33" spans="1:7" s="16" customFormat="1" ht="18" customHeight="1">
      <c r="A33" s="20" t="s">
        <v>35</v>
      </c>
      <c r="B33" s="197" t="s">
        <v>36</v>
      </c>
      <c r="C33" s="179"/>
      <c r="D33" s="178"/>
      <c r="E33" s="179"/>
      <c r="F33" s="18"/>
      <c r="G33" s="19"/>
    </row>
    <row r="34" spans="1:7" s="16" customFormat="1" ht="18" customHeight="1">
      <c r="A34" s="20" t="s">
        <v>16</v>
      </c>
      <c r="B34" s="198" t="s">
        <v>37</v>
      </c>
      <c r="C34" s="199"/>
      <c r="D34" s="178" t="s">
        <v>3</v>
      </c>
      <c r="E34" s="179"/>
      <c r="F34" s="18"/>
      <c r="G34" s="19"/>
    </row>
    <row r="35" spans="1:7" s="16" customFormat="1" ht="30" customHeight="1">
      <c r="A35" s="21" t="s">
        <v>38</v>
      </c>
      <c r="B35" s="198" t="s">
        <v>81</v>
      </c>
      <c r="C35" s="199"/>
      <c r="D35" s="178"/>
      <c r="E35" s="179"/>
      <c r="F35" s="18"/>
      <c r="G35" s="19"/>
    </row>
    <row r="36" spans="1:7" s="16" customFormat="1" ht="18" customHeight="1">
      <c r="A36" s="20" t="s">
        <v>17</v>
      </c>
      <c r="B36" s="198" t="s">
        <v>40</v>
      </c>
      <c r="C36" s="199"/>
      <c r="D36" s="178"/>
      <c r="E36" s="179"/>
      <c r="F36" s="18"/>
      <c r="G36" s="19"/>
    </row>
    <row r="37" spans="1:7" s="16" customFormat="1" ht="30" customHeight="1">
      <c r="A37" s="21" t="s">
        <v>41</v>
      </c>
      <c r="B37" s="198" t="s">
        <v>74</v>
      </c>
      <c r="C37" s="199"/>
      <c r="D37" s="178" t="s">
        <v>2</v>
      </c>
      <c r="E37" s="179"/>
      <c r="F37" s="18"/>
      <c r="G37" s="19"/>
    </row>
    <row r="38" spans="1:6" s="16" customFormat="1" ht="21" customHeight="1">
      <c r="A38" s="171" t="s">
        <v>15</v>
      </c>
      <c r="B38" s="171"/>
      <c r="C38" s="22"/>
      <c r="D38" s="23" t="s">
        <v>19</v>
      </c>
      <c r="E38" s="24" t="s">
        <v>150</v>
      </c>
      <c r="F38" s="25"/>
    </row>
  </sheetData>
  <sheetProtection selectLockedCells="1"/>
  <mergeCells count="28">
    <mergeCell ref="C29:E29"/>
    <mergeCell ref="D37:E37"/>
    <mergeCell ref="D31:E31"/>
    <mergeCell ref="D32:E32"/>
    <mergeCell ref="D33:E33"/>
    <mergeCell ref="D36:E36"/>
    <mergeCell ref="D34:E34"/>
    <mergeCell ref="D35:E35"/>
    <mergeCell ref="A1:E1"/>
    <mergeCell ref="B31:C31"/>
    <mergeCell ref="A30:E30"/>
    <mergeCell ref="A14:E14"/>
    <mergeCell ref="A18:E18"/>
    <mergeCell ref="A26:E26"/>
    <mergeCell ref="A3:C3"/>
    <mergeCell ref="B2:C2"/>
    <mergeCell ref="A29:B29"/>
    <mergeCell ref="C24:E25"/>
    <mergeCell ref="D4:E4"/>
    <mergeCell ref="B4:C4"/>
    <mergeCell ref="A38:B38"/>
    <mergeCell ref="B32:C32"/>
    <mergeCell ref="B33:C33"/>
    <mergeCell ref="B36:C36"/>
    <mergeCell ref="B37:C37"/>
    <mergeCell ref="B34:C34"/>
    <mergeCell ref="B35:C35"/>
    <mergeCell ref="A8:E8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J37"/>
  <sheetViews>
    <sheetView showGridLines="0" zoomScale="75" zoomScaleNormal="75" zoomScalePageLayoutView="0" workbookViewId="0" topLeftCell="A1">
      <selection activeCell="B19" sqref="B19"/>
    </sheetView>
  </sheetViews>
  <sheetFormatPr defaultColWidth="9.00390625" defaultRowHeight="12.75"/>
  <cols>
    <col min="1" max="1" width="37.125" style="2" customWidth="1"/>
    <col min="2" max="2" width="12.625" style="2" customWidth="1"/>
    <col min="3" max="3" width="12.875" style="2" customWidth="1"/>
    <col min="4" max="4" width="13.375" style="2" customWidth="1"/>
    <col min="5" max="5" width="13.125" style="2" customWidth="1"/>
    <col min="6" max="16384" width="9.125" style="2" customWidth="1"/>
  </cols>
  <sheetData>
    <row r="1" spans="1:5" ht="39.75" customHeight="1">
      <c r="A1" s="157" t="s">
        <v>58</v>
      </c>
      <c r="B1" s="180"/>
      <c r="C1" s="180"/>
      <c r="D1" s="180"/>
      <c r="E1" s="180"/>
    </row>
    <row r="2" spans="1:5" ht="19.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16.5" customHeight="1">
      <c r="A3" s="160" t="s">
        <v>29</v>
      </c>
      <c r="B3" s="161"/>
      <c r="C3" s="162"/>
      <c r="D3" s="5" t="s">
        <v>21</v>
      </c>
      <c r="E3" s="9"/>
    </row>
    <row r="4" spans="1:5" ht="18.75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4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7" ht="16.5" customHeight="1">
      <c r="A6" s="29" t="s">
        <v>0</v>
      </c>
      <c r="B6" s="30">
        <f>E2-SUM(B7:B24)</f>
        <v>36.137</v>
      </c>
      <c r="C6" s="31"/>
      <c r="D6" s="31"/>
      <c r="E6" s="31"/>
      <c r="G6" s="58" t="s">
        <v>94</v>
      </c>
    </row>
    <row r="7" spans="1:7" ht="16.5" customHeight="1">
      <c r="A7" s="53" t="s">
        <v>93</v>
      </c>
      <c r="B7" s="54">
        <f>E2*0.05</f>
        <v>5</v>
      </c>
      <c r="C7" s="55"/>
      <c r="D7" s="55"/>
      <c r="E7" s="55"/>
      <c r="G7" s="57">
        <v>0.2</v>
      </c>
    </row>
    <row r="8" spans="1:5" ht="16.5" customHeight="1">
      <c r="A8" s="32" t="str">
        <f>Сырьё!B15</f>
        <v>Polycol  WP-20B</v>
      </c>
      <c r="B8" s="33">
        <f>E2*0.0045</f>
        <v>0.44999999999999996</v>
      </c>
      <c r="C8" s="34"/>
      <c r="D8" s="34"/>
      <c r="E8" s="34"/>
    </row>
    <row r="9" spans="1:5" ht="15.75" customHeight="1">
      <c r="A9" s="184" t="s">
        <v>90</v>
      </c>
      <c r="B9" s="185"/>
      <c r="C9" s="185"/>
      <c r="D9" s="185"/>
      <c r="E9" s="186"/>
    </row>
    <row r="10" spans="1:5" ht="16.5" customHeight="1">
      <c r="A10" s="29" t="s">
        <v>30</v>
      </c>
      <c r="B10" s="30">
        <f>E2*0.015</f>
        <v>1.5</v>
      </c>
      <c r="C10" s="31"/>
      <c r="D10" s="31"/>
      <c r="E10" s="31"/>
    </row>
    <row r="11" spans="1:5" ht="16.5" customHeight="1">
      <c r="A11" s="35" t="str">
        <f>Сырьё!B5</f>
        <v>Диспергатор Opotan N4045</v>
      </c>
      <c r="B11" s="36">
        <f>E2*0.00153</f>
        <v>0.153</v>
      </c>
      <c r="C11" s="37"/>
      <c r="D11" s="37"/>
      <c r="E11" s="37"/>
    </row>
    <row r="12" spans="1:5" ht="16.5" customHeight="1">
      <c r="A12" s="107" t="s">
        <v>151</v>
      </c>
      <c r="B12" s="36">
        <f>E2*0.0001</f>
        <v>0.01</v>
      </c>
      <c r="C12" s="37"/>
      <c r="D12" s="37"/>
      <c r="E12" s="37"/>
    </row>
    <row r="13" spans="1:5" ht="17.25" customHeight="1">
      <c r="A13" s="181" t="s">
        <v>86</v>
      </c>
      <c r="B13" s="182"/>
      <c r="C13" s="182"/>
      <c r="D13" s="182"/>
      <c r="E13" s="183"/>
    </row>
    <row r="14" spans="1:5" ht="16.5" customHeight="1">
      <c r="A14" s="29" t="str">
        <f>Сырьё!B8</f>
        <v>Lomon  R996</v>
      </c>
      <c r="B14" s="30">
        <f>E2*0.01</f>
        <v>1</v>
      </c>
      <c r="C14" s="31"/>
      <c r="D14" s="31"/>
      <c r="E14" s="31"/>
    </row>
    <row r="15" spans="1:5" ht="16.5" customHeight="1">
      <c r="A15" s="35" t="str">
        <f>Сырьё!B9</f>
        <v>Omyacarb 2-UR</v>
      </c>
      <c r="B15" s="36">
        <f>E2*0.4</f>
        <v>40</v>
      </c>
      <c r="C15" s="37"/>
      <c r="D15" s="37"/>
      <c r="E15" s="37"/>
    </row>
    <row r="16" spans="1:5" ht="16.5" customHeight="1">
      <c r="A16" s="35" t="str">
        <f>Сырьё!B12</f>
        <v>Omyacarb 5UR</v>
      </c>
      <c r="B16" s="33">
        <f>E2*0.15</f>
        <v>15</v>
      </c>
      <c r="C16" s="34"/>
      <c r="D16" s="34"/>
      <c r="E16" s="34"/>
    </row>
    <row r="17" spans="1:5" ht="17.25" customHeight="1">
      <c r="A17" s="184" t="s">
        <v>89</v>
      </c>
      <c r="B17" s="185"/>
      <c r="C17" s="185"/>
      <c r="D17" s="185"/>
      <c r="E17" s="186"/>
    </row>
    <row r="18" spans="1:5" ht="16.5" customHeight="1">
      <c r="A18" s="35" t="str">
        <f>'[4]Сырьё'!$B$7</f>
        <v>Пеногаситель Serdas 7015</v>
      </c>
      <c r="B18" s="36">
        <f>E2*0.0005</f>
        <v>0.05</v>
      </c>
      <c r="C18" s="37"/>
      <c r="D18" s="37"/>
      <c r="E18" s="37"/>
    </row>
    <row r="19" spans="1:5" ht="16.5" customHeight="1">
      <c r="A19" s="29" t="str">
        <f>Сырьё!B2</f>
        <v>DL-430</v>
      </c>
      <c r="B19" s="30">
        <f>E2*((1-5*G7)/50)</f>
        <v>0</v>
      </c>
      <c r="C19" s="38"/>
      <c r="D19" s="38"/>
      <c r="E19" s="38"/>
    </row>
    <row r="20" spans="1:5" ht="16.5" customHeight="1">
      <c r="A20" s="35" t="str">
        <f>'[4]Сырьё'!$B$9</f>
        <v>Консервант Acticide FI</v>
      </c>
      <c r="B20" s="36">
        <f>E2*0.002</f>
        <v>0.2</v>
      </c>
      <c r="C20" s="37"/>
      <c r="D20" s="37"/>
      <c r="E20" s="37"/>
    </row>
    <row r="21" spans="1:5" ht="15.75" customHeight="1">
      <c r="A21" s="35" t="s">
        <v>61</v>
      </c>
      <c r="B21" s="36">
        <f>E2*0.0005</f>
        <v>0.05</v>
      </c>
      <c r="C21" s="37"/>
      <c r="D21" s="37"/>
      <c r="E21" s="37"/>
    </row>
    <row r="22" spans="1:5" ht="16.5" customHeight="1">
      <c r="A22" s="32" t="str">
        <f>'[4]Сырьё'!$B$7</f>
        <v>Пеногаситель Serdas 7015</v>
      </c>
      <c r="B22" s="33">
        <f>E2*0.0005</f>
        <v>0.05</v>
      </c>
      <c r="C22" s="34"/>
      <c r="D22" s="34"/>
      <c r="E22" s="34"/>
    </row>
    <row r="23" spans="1:5" ht="16.5" customHeight="1">
      <c r="A23" s="32" t="str">
        <f>Сырьё!B17</f>
        <v>Загуститель Rheovis 112</v>
      </c>
      <c r="B23" s="33">
        <f>E2*0.002</f>
        <v>0.2</v>
      </c>
      <c r="C23" s="190" t="s">
        <v>91</v>
      </c>
      <c r="D23" s="191"/>
      <c r="E23" s="192"/>
    </row>
    <row r="24" spans="1:5" ht="16.5" customHeight="1">
      <c r="A24" s="72" t="s">
        <v>0</v>
      </c>
      <c r="B24" s="33">
        <f>E2*0.002</f>
        <v>0.2</v>
      </c>
      <c r="C24" s="193"/>
      <c r="D24" s="194"/>
      <c r="E24" s="195"/>
    </row>
    <row r="25" spans="1:5" ht="33" customHeight="1">
      <c r="A25" s="187" t="s">
        <v>92</v>
      </c>
      <c r="B25" s="188"/>
      <c r="C25" s="188"/>
      <c r="D25" s="188"/>
      <c r="E25" s="189"/>
    </row>
    <row r="26" spans="1:5" ht="14.25" customHeight="1">
      <c r="A26" s="4" t="s">
        <v>11</v>
      </c>
      <c r="B26" s="3">
        <f>SUM(B6:B24)</f>
        <v>100</v>
      </c>
      <c r="C26" s="1"/>
      <c r="D26" s="1"/>
      <c r="E26" s="1"/>
    </row>
    <row r="27" spans="1:5" ht="10.5" customHeight="1">
      <c r="A27" s="12" t="s">
        <v>32</v>
      </c>
      <c r="B27" s="13">
        <f>(B7*G7+B8+B10*0.1+B11*0.4+B12+B19*0.5+B14+B15+B16+(B18+B20+B22+B23)*0.3)*100/E2</f>
        <v>57.8212</v>
      </c>
      <c r="C27" s="14"/>
      <c r="D27" s="14"/>
      <c r="E27" s="14"/>
    </row>
    <row r="28" spans="1:5" ht="17.25" customHeight="1">
      <c r="A28" s="148" t="s">
        <v>45</v>
      </c>
      <c r="B28" s="148"/>
      <c r="C28" s="148" t="s">
        <v>12</v>
      </c>
      <c r="D28" s="148"/>
      <c r="E28" s="148"/>
    </row>
    <row r="29" spans="1:10" s="16" customFormat="1" ht="15" customHeight="1">
      <c r="A29" s="163" t="s">
        <v>33</v>
      </c>
      <c r="B29" s="163"/>
      <c r="C29" s="163"/>
      <c r="D29" s="163"/>
      <c r="E29" s="163"/>
      <c r="F29" s="15"/>
      <c r="G29" s="15"/>
      <c r="H29" s="15"/>
      <c r="I29" s="15"/>
      <c r="J29" s="15"/>
    </row>
    <row r="30" spans="1:10" s="16" customFormat="1" ht="47.25" customHeight="1">
      <c r="A30" s="17" t="s">
        <v>13</v>
      </c>
      <c r="B30" s="159" t="s">
        <v>47</v>
      </c>
      <c r="C30" s="152"/>
      <c r="D30" s="151" t="s">
        <v>14</v>
      </c>
      <c r="E30" s="152"/>
      <c r="F30" s="18"/>
      <c r="G30" s="19"/>
      <c r="H30" s="19"/>
      <c r="I30" s="19"/>
      <c r="J30" s="19"/>
    </row>
    <row r="31" spans="1:10" s="16" customFormat="1" ht="26.25" customHeight="1">
      <c r="A31" s="20" t="s">
        <v>4</v>
      </c>
      <c r="B31" s="197" t="s">
        <v>34</v>
      </c>
      <c r="C31" s="179"/>
      <c r="D31" s="178" t="s">
        <v>2</v>
      </c>
      <c r="E31" s="179"/>
      <c r="F31" s="18"/>
      <c r="G31" s="19"/>
      <c r="H31" s="19"/>
      <c r="I31" s="19"/>
      <c r="J31" s="19"/>
    </row>
    <row r="32" spans="1:10" s="16" customFormat="1" ht="18" customHeight="1">
      <c r="A32" s="20" t="s">
        <v>35</v>
      </c>
      <c r="B32" s="197" t="s">
        <v>36</v>
      </c>
      <c r="C32" s="179"/>
      <c r="D32" s="178"/>
      <c r="E32" s="179"/>
      <c r="F32" s="18"/>
      <c r="G32" s="19"/>
      <c r="H32" s="19"/>
      <c r="I32" s="19"/>
      <c r="J32" s="19"/>
    </row>
    <row r="33" spans="1:10" s="16" customFormat="1" ht="18" customHeight="1">
      <c r="A33" s="20" t="s">
        <v>16</v>
      </c>
      <c r="B33" s="198" t="s">
        <v>37</v>
      </c>
      <c r="C33" s="199"/>
      <c r="D33" s="178" t="s">
        <v>3</v>
      </c>
      <c r="E33" s="179"/>
      <c r="F33" s="18"/>
      <c r="G33" s="19"/>
      <c r="H33" s="19"/>
      <c r="I33" s="19"/>
      <c r="J33" s="19"/>
    </row>
    <row r="34" spans="1:10" s="16" customFormat="1" ht="30" customHeight="1">
      <c r="A34" s="21" t="s">
        <v>38</v>
      </c>
      <c r="B34" s="198" t="s">
        <v>81</v>
      </c>
      <c r="C34" s="199"/>
      <c r="D34" s="178"/>
      <c r="E34" s="179"/>
      <c r="F34" s="18"/>
      <c r="G34" s="19"/>
      <c r="H34" s="19"/>
      <c r="I34" s="19"/>
      <c r="J34" s="19"/>
    </row>
    <row r="35" spans="1:10" s="16" customFormat="1" ht="18" customHeight="1">
      <c r="A35" s="20" t="s">
        <v>17</v>
      </c>
      <c r="B35" s="198" t="s">
        <v>40</v>
      </c>
      <c r="C35" s="199"/>
      <c r="D35" s="178"/>
      <c r="E35" s="179"/>
      <c r="F35" s="18"/>
      <c r="G35" s="19"/>
      <c r="H35" s="19"/>
      <c r="I35" s="19"/>
      <c r="J35" s="19"/>
    </row>
    <row r="36" spans="1:10" s="16" customFormat="1" ht="30" customHeight="1">
      <c r="A36" s="21" t="s">
        <v>41</v>
      </c>
      <c r="B36" s="198" t="s">
        <v>42</v>
      </c>
      <c r="C36" s="199"/>
      <c r="D36" s="178" t="s">
        <v>2</v>
      </c>
      <c r="E36" s="179"/>
      <c r="F36" s="18"/>
      <c r="G36" s="19"/>
      <c r="H36" s="19"/>
      <c r="I36" s="19"/>
      <c r="J36" s="19"/>
    </row>
    <row r="37" spans="1:6" s="16" customFormat="1" ht="24" customHeight="1">
      <c r="A37" s="171" t="s">
        <v>15</v>
      </c>
      <c r="B37" s="171"/>
      <c r="C37" s="22"/>
      <c r="D37" s="23" t="s">
        <v>19</v>
      </c>
      <c r="E37" s="24" t="s">
        <v>150</v>
      </c>
      <c r="F37" s="25"/>
    </row>
  </sheetData>
  <sheetProtection selectLockedCells="1"/>
  <mergeCells count="28">
    <mergeCell ref="C28:E28"/>
    <mergeCell ref="D36:E36"/>
    <mergeCell ref="D30:E30"/>
    <mergeCell ref="D31:E31"/>
    <mergeCell ref="D32:E32"/>
    <mergeCell ref="D35:E35"/>
    <mergeCell ref="D33:E33"/>
    <mergeCell ref="D34:E34"/>
    <mergeCell ref="A1:E1"/>
    <mergeCell ref="B30:C30"/>
    <mergeCell ref="A29:E29"/>
    <mergeCell ref="A13:E13"/>
    <mergeCell ref="A17:E17"/>
    <mergeCell ref="A25:E25"/>
    <mergeCell ref="A3:C3"/>
    <mergeCell ref="B2:C2"/>
    <mergeCell ref="A28:B28"/>
    <mergeCell ref="C23:E24"/>
    <mergeCell ref="D4:E4"/>
    <mergeCell ref="B4:C4"/>
    <mergeCell ref="A37:B37"/>
    <mergeCell ref="B31:C31"/>
    <mergeCell ref="B32:C32"/>
    <mergeCell ref="B35:C35"/>
    <mergeCell ref="B36:C36"/>
    <mergeCell ref="B33:C33"/>
    <mergeCell ref="B34:C34"/>
    <mergeCell ref="A9:E9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1:J36"/>
  <sheetViews>
    <sheetView showGridLines="0" zoomScale="75" zoomScaleNormal="75" zoomScalePageLayoutView="0" workbookViewId="0" topLeftCell="A1">
      <selection activeCell="D7" sqref="D7"/>
    </sheetView>
  </sheetViews>
  <sheetFormatPr defaultColWidth="9.00390625" defaultRowHeight="12.75"/>
  <cols>
    <col min="1" max="1" width="37.00390625" style="63" customWidth="1"/>
    <col min="2" max="2" width="12.875" style="63" customWidth="1"/>
    <col min="3" max="3" width="13.875" style="63" customWidth="1"/>
    <col min="4" max="4" width="13.625" style="63" customWidth="1"/>
    <col min="5" max="5" width="14.75390625" style="63" customWidth="1"/>
    <col min="6" max="16384" width="9.125" style="63" customWidth="1"/>
  </cols>
  <sheetData>
    <row r="1" spans="1:5" ht="39.75" customHeight="1">
      <c r="A1" s="218" t="s">
        <v>152</v>
      </c>
      <c r="B1" s="219"/>
      <c r="C1" s="219"/>
      <c r="D1" s="219"/>
      <c r="E1" s="219"/>
    </row>
    <row r="2" spans="1:5" ht="19.5" customHeight="1">
      <c r="A2" s="64" t="s">
        <v>28</v>
      </c>
      <c r="B2" s="232">
        <f ca="1">TODAY()</f>
        <v>43794</v>
      </c>
      <c r="C2" s="233"/>
      <c r="D2" s="65" t="s">
        <v>7</v>
      </c>
      <c r="E2" s="66">
        <v>100</v>
      </c>
    </row>
    <row r="3" spans="1:5" ht="16.5" customHeight="1">
      <c r="A3" s="229" t="s">
        <v>29</v>
      </c>
      <c r="B3" s="230"/>
      <c r="C3" s="231"/>
      <c r="D3" s="64" t="s">
        <v>21</v>
      </c>
      <c r="E3" s="66"/>
    </row>
    <row r="4" spans="1:5" ht="18.75" customHeight="1">
      <c r="A4" s="103" t="s">
        <v>54</v>
      </c>
      <c r="B4" s="209" t="s">
        <v>55</v>
      </c>
      <c r="C4" s="209"/>
      <c r="D4" s="209" t="s">
        <v>20</v>
      </c>
      <c r="E4" s="209"/>
    </row>
    <row r="5" spans="1:5" ht="45" customHeight="1">
      <c r="A5" s="68" t="s">
        <v>8</v>
      </c>
      <c r="B5" s="68" t="s">
        <v>5</v>
      </c>
      <c r="C5" s="68" t="s">
        <v>9</v>
      </c>
      <c r="D5" s="68" t="s">
        <v>6</v>
      </c>
      <c r="E5" s="68" t="s">
        <v>10</v>
      </c>
    </row>
    <row r="6" spans="1:5" ht="16.5" customHeight="1">
      <c r="A6" s="69" t="s">
        <v>0</v>
      </c>
      <c r="B6" s="70">
        <f>E2-SUM(B7:B23)</f>
        <v>39.14</v>
      </c>
      <c r="C6" s="71"/>
      <c r="D6" s="71"/>
      <c r="E6" s="71"/>
    </row>
    <row r="7" spans="1:5" ht="16.5" customHeight="1">
      <c r="A7" s="72" t="str">
        <f>Сырьё!B15</f>
        <v>Polycol  WP-20B</v>
      </c>
      <c r="B7" s="85">
        <f>E2*0.0045</f>
        <v>0.44999999999999996</v>
      </c>
      <c r="C7" s="74"/>
      <c r="D7" s="74"/>
      <c r="E7" s="105"/>
    </row>
    <row r="8" spans="1:5" ht="15.75" customHeight="1">
      <c r="A8" s="215" t="s">
        <v>90</v>
      </c>
      <c r="B8" s="216"/>
      <c r="C8" s="216"/>
      <c r="D8" s="216"/>
      <c r="E8" s="217"/>
    </row>
    <row r="9" spans="1:5" ht="16.5" customHeight="1">
      <c r="A9" s="69" t="s">
        <v>30</v>
      </c>
      <c r="B9" s="70">
        <f>E2*0.015</f>
        <v>1.5</v>
      </c>
      <c r="C9" s="71"/>
      <c r="D9" s="71"/>
      <c r="E9" s="71"/>
    </row>
    <row r="10" spans="1:5" ht="16.5" customHeight="1">
      <c r="A10" s="75" t="str">
        <f>Сырьё!B5</f>
        <v>Диспергатор Opotan N4045</v>
      </c>
      <c r="B10" s="76">
        <f>E2*0.0015</f>
        <v>0.15</v>
      </c>
      <c r="C10" s="77"/>
      <c r="D10" s="77"/>
      <c r="E10" s="77"/>
    </row>
    <row r="11" spans="1:5" ht="16.5" customHeight="1">
      <c r="A11" s="75" t="s">
        <v>52</v>
      </c>
      <c r="B11" s="76">
        <f>E2*0.0001</f>
        <v>0.01</v>
      </c>
      <c r="C11" s="77"/>
      <c r="D11" s="77"/>
      <c r="E11" s="77"/>
    </row>
    <row r="12" spans="1:5" ht="17.25" customHeight="1">
      <c r="A12" s="223" t="s">
        <v>86</v>
      </c>
      <c r="B12" s="224"/>
      <c r="C12" s="224"/>
      <c r="D12" s="224"/>
      <c r="E12" s="225"/>
    </row>
    <row r="13" spans="1:5" ht="16.5" customHeight="1">
      <c r="A13" s="69" t="str">
        <f>Сырьё!B8</f>
        <v>Lomon  R996</v>
      </c>
      <c r="B13" s="70">
        <f>E2*0.01</f>
        <v>1</v>
      </c>
      <c r="C13" s="71"/>
      <c r="D13" s="71"/>
      <c r="E13" s="71"/>
    </row>
    <row r="14" spans="1:5" ht="16.5" customHeight="1">
      <c r="A14" s="75" t="str">
        <f>Сырьё!B9</f>
        <v>Omyacarb 2-UR</v>
      </c>
      <c r="B14" s="76">
        <f>E2*0.4</f>
        <v>40</v>
      </c>
      <c r="C14" s="77"/>
      <c r="D14" s="77"/>
      <c r="E14" s="77"/>
    </row>
    <row r="15" spans="1:5" ht="16.5" customHeight="1">
      <c r="A15" s="75" t="str">
        <f>Сырьё!B10</f>
        <v>Omyacarb 5UR</v>
      </c>
      <c r="B15" s="85">
        <f>E2*0.15</f>
        <v>15</v>
      </c>
      <c r="C15" s="74"/>
      <c r="D15" s="74"/>
      <c r="E15" s="74"/>
    </row>
    <row r="16" spans="1:5" ht="17.25" customHeight="1">
      <c r="A16" s="215" t="s">
        <v>89</v>
      </c>
      <c r="B16" s="216"/>
      <c r="C16" s="216"/>
      <c r="D16" s="216"/>
      <c r="E16" s="217"/>
    </row>
    <row r="17" spans="1:5" ht="16.5" customHeight="1">
      <c r="A17" s="75" t="s">
        <v>173</v>
      </c>
      <c r="B17" s="76">
        <f>E2*0.0005</f>
        <v>0.05</v>
      </c>
      <c r="C17" s="77"/>
      <c r="D17" s="77"/>
      <c r="E17" s="77"/>
    </row>
    <row r="18" spans="1:5" ht="16.5" customHeight="1">
      <c r="A18" s="106" t="str">
        <f>Сырьё!B2</f>
        <v>DL-430</v>
      </c>
      <c r="B18" s="70">
        <f>E2*0.02</f>
        <v>2</v>
      </c>
      <c r="C18" s="84"/>
      <c r="D18" s="84"/>
      <c r="E18" s="84"/>
    </row>
    <row r="19" spans="1:5" s="104" customFormat="1" ht="16.5" customHeight="1">
      <c r="A19" s="75" t="str">
        <f>'[3]Сырьё'!$B$9</f>
        <v>Консервант Acticide FI</v>
      </c>
      <c r="B19" s="76">
        <f>E2*0.002</f>
        <v>0.2</v>
      </c>
      <c r="C19" s="77"/>
      <c r="D19" s="77"/>
      <c r="E19" s="77"/>
    </row>
    <row r="20" spans="1:5" ht="15.75" customHeight="1">
      <c r="A20" s="75" t="s">
        <v>61</v>
      </c>
      <c r="B20" s="76">
        <f>E2*0.0005</f>
        <v>0.05</v>
      </c>
      <c r="C20" s="77"/>
      <c r="D20" s="77"/>
      <c r="E20" s="77"/>
    </row>
    <row r="21" spans="1:5" ht="16.5" customHeight="1">
      <c r="A21" s="75" t="s">
        <v>173</v>
      </c>
      <c r="B21" s="85">
        <f>E2*0.0005</f>
        <v>0.05</v>
      </c>
      <c r="C21" s="74"/>
      <c r="D21" s="74"/>
      <c r="E21" s="74"/>
    </row>
    <row r="22" spans="1:5" ht="16.5" customHeight="1">
      <c r="A22" s="72" t="str">
        <f>Сырьё!B17</f>
        <v>Загуститель Rheovis 112</v>
      </c>
      <c r="B22" s="85">
        <f>E2*0.002</f>
        <v>0.2</v>
      </c>
      <c r="C22" s="235" t="s">
        <v>91</v>
      </c>
      <c r="D22" s="236"/>
      <c r="E22" s="237"/>
    </row>
    <row r="23" spans="1:5" ht="16.5" customHeight="1">
      <c r="A23" s="72" t="s">
        <v>0</v>
      </c>
      <c r="B23" s="85">
        <f>E2*0.002</f>
        <v>0.2</v>
      </c>
      <c r="C23" s="238"/>
      <c r="D23" s="239"/>
      <c r="E23" s="240"/>
    </row>
    <row r="24" spans="1:5" ht="33" customHeight="1">
      <c r="A24" s="226" t="s">
        <v>92</v>
      </c>
      <c r="B24" s="227"/>
      <c r="C24" s="227"/>
      <c r="D24" s="227"/>
      <c r="E24" s="228"/>
    </row>
    <row r="25" spans="1:5" ht="14.25" customHeight="1">
      <c r="A25" s="86" t="s">
        <v>11</v>
      </c>
      <c r="B25" s="87">
        <f>SUM(B6:B23)</f>
        <v>100</v>
      </c>
      <c r="C25" s="88"/>
      <c r="D25" s="88"/>
      <c r="E25" s="88"/>
    </row>
    <row r="26" spans="1:5" ht="10.5" customHeight="1">
      <c r="A26" s="89" t="s">
        <v>32</v>
      </c>
      <c r="B26" s="90">
        <f>(B7+B9*0.1+B10*0.4+B11+B18*0.5+B13+B14+B15+(B19+B21+B22)*0.3)*100/E2</f>
        <v>57.805</v>
      </c>
      <c r="C26" s="91"/>
      <c r="D26" s="91"/>
      <c r="E26" s="91"/>
    </row>
    <row r="27" spans="1:5" ht="17.25" customHeight="1">
      <c r="A27" s="234" t="s">
        <v>45</v>
      </c>
      <c r="B27" s="234"/>
      <c r="C27" s="234" t="s">
        <v>12</v>
      </c>
      <c r="D27" s="234"/>
      <c r="E27" s="234"/>
    </row>
    <row r="28" spans="1:10" s="93" customFormat="1" ht="15" customHeight="1">
      <c r="A28" s="222" t="s">
        <v>33</v>
      </c>
      <c r="B28" s="222"/>
      <c r="C28" s="222"/>
      <c r="D28" s="222"/>
      <c r="E28" s="222"/>
      <c r="F28" s="92"/>
      <c r="G28" s="92"/>
      <c r="H28" s="92"/>
      <c r="I28" s="92"/>
      <c r="J28" s="92"/>
    </row>
    <row r="29" spans="1:10" s="93" customFormat="1" ht="39" customHeight="1">
      <c r="A29" s="94" t="s">
        <v>13</v>
      </c>
      <c r="B29" s="220" t="s">
        <v>47</v>
      </c>
      <c r="C29" s="221"/>
      <c r="D29" s="242" t="s">
        <v>14</v>
      </c>
      <c r="E29" s="221"/>
      <c r="F29" s="95"/>
      <c r="G29" s="96"/>
      <c r="H29" s="96"/>
      <c r="I29" s="96"/>
      <c r="J29" s="96"/>
    </row>
    <row r="30" spans="1:10" s="93" customFormat="1" ht="18" customHeight="1">
      <c r="A30" s="97" t="s">
        <v>4</v>
      </c>
      <c r="B30" s="211" t="s">
        <v>34</v>
      </c>
      <c r="C30" s="212"/>
      <c r="D30" s="241" t="s">
        <v>2</v>
      </c>
      <c r="E30" s="212"/>
      <c r="F30" s="95"/>
      <c r="G30" s="96"/>
      <c r="H30" s="96"/>
      <c r="I30" s="96"/>
      <c r="J30" s="96"/>
    </row>
    <row r="31" spans="1:10" s="93" customFormat="1" ht="18" customHeight="1">
      <c r="A31" s="97" t="s">
        <v>35</v>
      </c>
      <c r="B31" s="211" t="s">
        <v>36</v>
      </c>
      <c r="C31" s="212"/>
      <c r="D31" s="241"/>
      <c r="E31" s="212"/>
      <c r="F31" s="95"/>
      <c r="G31" s="96"/>
      <c r="H31" s="96"/>
      <c r="I31" s="96"/>
      <c r="J31" s="96"/>
    </row>
    <row r="32" spans="1:10" s="93" customFormat="1" ht="18" customHeight="1">
      <c r="A32" s="97" t="s">
        <v>16</v>
      </c>
      <c r="B32" s="213" t="s">
        <v>37</v>
      </c>
      <c r="C32" s="214"/>
      <c r="D32" s="241" t="s">
        <v>3</v>
      </c>
      <c r="E32" s="212"/>
      <c r="F32" s="95"/>
      <c r="G32" s="96"/>
      <c r="H32" s="96"/>
      <c r="I32" s="96"/>
      <c r="J32" s="96"/>
    </row>
    <row r="33" spans="1:10" s="93" customFormat="1" ht="30" customHeight="1">
      <c r="A33" s="98" t="s">
        <v>38</v>
      </c>
      <c r="B33" s="213" t="s">
        <v>81</v>
      </c>
      <c r="C33" s="214"/>
      <c r="D33" s="241"/>
      <c r="E33" s="212"/>
      <c r="F33" s="95"/>
      <c r="G33" s="96"/>
      <c r="H33" s="96"/>
      <c r="I33" s="96"/>
      <c r="J33" s="96"/>
    </row>
    <row r="34" spans="1:10" s="93" customFormat="1" ht="18" customHeight="1">
      <c r="A34" s="97" t="s">
        <v>17</v>
      </c>
      <c r="B34" s="213" t="s">
        <v>40</v>
      </c>
      <c r="C34" s="214"/>
      <c r="D34" s="241"/>
      <c r="E34" s="212"/>
      <c r="F34" s="95"/>
      <c r="G34" s="96"/>
      <c r="H34" s="96"/>
      <c r="I34" s="96"/>
      <c r="J34" s="96"/>
    </row>
    <row r="35" spans="1:10" s="93" customFormat="1" ht="30" customHeight="1">
      <c r="A35" s="98" t="s">
        <v>41</v>
      </c>
      <c r="B35" s="213" t="s">
        <v>42</v>
      </c>
      <c r="C35" s="214"/>
      <c r="D35" s="241" t="s">
        <v>2</v>
      </c>
      <c r="E35" s="212"/>
      <c r="F35" s="95"/>
      <c r="G35" s="96"/>
      <c r="H35" s="96"/>
      <c r="I35" s="96"/>
      <c r="J35" s="96"/>
    </row>
    <row r="36" spans="1:6" s="93" customFormat="1" ht="24" customHeight="1">
      <c r="A36" s="210" t="s">
        <v>15</v>
      </c>
      <c r="B36" s="210"/>
      <c r="C36" s="99"/>
      <c r="D36" s="100" t="s">
        <v>19</v>
      </c>
      <c r="E36" s="24" t="s">
        <v>146</v>
      </c>
      <c r="F36" s="102"/>
    </row>
  </sheetData>
  <sheetProtection selectLockedCells="1"/>
  <mergeCells count="28">
    <mergeCell ref="C27:E27"/>
    <mergeCell ref="D35:E35"/>
    <mergeCell ref="D29:E29"/>
    <mergeCell ref="D30:E30"/>
    <mergeCell ref="D31:E31"/>
    <mergeCell ref="D34:E34"/>
    <mergeCell ref="D32:E32"/>
    <mergeCell ref="D33:E33"/>
    <mergeCell ref="A1:E1"/>
    <mergeCell ref="B29:C29"/>
    <mergeCell ref="A28:E28"/>
    <mergeCell ref="A12:E12"/>
    <mergeCell ref="A16:E16"/>
    <mergeCell ref="A24:E24"/>
    <mergeCell ref="A3:C3"/>
    <mergeCell ref="B2:C2"/>
    <mergeCell ref="A27:B27"/>
    <mergeCell ref="C22:E23"/>
    <mergeCell ref="D4:E4"/>
    <mergeCell ref="B4:C4"/>
    <mergeCell ref="A36:B36"/>
    <mergeCell ref="B30:C30"/>
    <mergeCell ref="B31:C31"/>
    <mergeCell ref="B34:C34"/>
    <mergeCell ref="B35:C35"/>
    <mergeCell ref="B32:C32"/>
    <mergeCell ref="B33:C33"/>
    <mergeCell ref="A8:E8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J36"/>
  <sheetViews>
    <sheetView showGridLines="0" zoomScale="75" zoomScaleNormal="75" zoomScalePageLayoutView="0" workbookViewId="0" topLeftCell="A1">
      <selection activeCell="E36" sqref="E36"/>
    </sheetView>
  </sheetViews>
  <sheetFormatPr defaultColWidth="9.00390625" defaultRowHeight="12.75"/>
  <cols>
    <col min="1" max="1" width="37.375" style="2" customWidth="1"/>
    <col min="2" max="2" width="11.375" style="2" customWidth="1"/>
    <col min="3" max="3" width="13.375" style="2" customWidth="1"/>
    <col min="4" max="5" width="14.75390625" style="2" customWidth="1"/>
    <col min="6" max="16384" width="9.125" style="2" customWidth="1"/>
  </cols>
  <sheetData>
    <row r="1" spans="1:5" ht="36" customHeight="1">
      <c r="A1" s="157" t="s">
        <v>57</v>
      </c>
      <c r="B1" s="180"/>
      <c r="C1" s="180"/>
      <c r="D1" s="180"/>
      <c r="E1" s="180"/>
    </row>
    <row r="2" spans="1:5" ht="18.7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24" customHeight="1">
      <c r="A3" s="160" t="s">
        <v>29</v>
      </c>
      <c r="B3" s="161"/>
      <c r="C3" s="162"/>
      <c r="D3" s="5" t="s">
        <v>21</v>
      </c>
      <c r="E3" s="9"/>
    </row>
    <row r="4" spans="1:5" ht="24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44.2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7" ht="16.5" customHeight="1">
      <c r="A6" s="29" t="s">
        <v>0</v>
      </c>
      <c r="B6" s="30">
        <f>E2-SUM(B7:B23)</f>
        <v>30.659999999999997</v>
      </c>
      <c r="C6" s="31"/>
      <c r="D6" s="31"/>
      <c r="E6" s="31"/>
      <c r="G6" s="58" t="s">
        <v>94</v>
      </c>
    </row>
    <row r="7" spans="1:7" ht="16.5" customHeight="1">
      <c r="A7" s="53" t="s">
        <v>93</v>
      </c>
      <c r="B7" s="54">
        <f>E2*0.1</f>
        <v>10</v>
      </c>
      <c r="C7" s="55"/>
      <c r="D7" s="55"/>
      <c r="E7" s="55"/>
      <c r="G7" s="57">
        <v>0.2</v>
      </c>
    </row>
    <row r="8" spans="1:5" ht="16.5" customHeight="1">
      <c r="A8" s="32" t="str">
        <f>Сырьё!B15</f>
        <v>Polycol  WP-20B</v>
      </c>
      <c r="B8" s="33">
        <f>E2*0.0043</f>
        <v>0.43</v>
      </c>
      <c r="C8" s="34"/>
      <c r="D8" s="34"/>
      <c r="E8" s="34"/>
    </row>
    <row r="9" spans="1:5" ht="15.75" customHeight="1">
      <c r="A9" s="184" t="s">
        <v>90</v>
      </c>
      <c r="B9" s="185"/>
      <c r="C9" s="185"/>
      <c r="D9" s="185"/>
      <c r="E9" s="186"/>
    </row>
    <row r="10" spans="1:5" ht="16.5" customHeight="1">
      <c r="A10" s="29" t="s">
        <v>30</v>
      </c>
      <c r="B10" s="30">
        <f>E2*0.015</f>
        <v>1.5</v>
      </c>
      <c r="C10" s="31"/>
      <c r="D10" s="31"/>
      <c r="E10" s="31"/>
    </row>
    <row r="11" spans="1:5" ht="16.5" customHeight="1">
      <c r="A11" s="35" t="str">
        <f>Сырьё!B5</f>
        <v>Диспергатор Opotan N4045</v>
      </c>
      <c r="B11" s="36">
        <f>E2*0.0015</f>
        <v>0.15</v>
      </c>
      <c r="C11" s="37"/>
      <c r="D11" s="37"/>
      <c r="E11" s="37"/>
    </row>
    <row r="12" spans="1:5" ht="16.5" customHeight="1">
      <c r="A12" s="35" t="s">
        <v>52</v>
      </c>
      <c r="B12" s="36">
        <f>E2*0.0001</f>
        <v>0.01</v>
      </c>
      <c r="C12" s="37"/>
      <c r="D12" s="37"/>
      <c r="E12" s="37"/>
    </row>
    <row r="13" spans="1:5" ht="21" customHeight="1">
      <c r="A13" s="181" t="s">
        <v>86</v>
      </c>
      <c r="B13" s="182"/>
      <c r="C13" s="182"/>
      <c r="D13" s="182"/>
      <c r="E13" s="183"/>
    </row>
    <row r="14" spans="1:5" ht="16.5" customHeight="1">
      <c r="A14" s="29" t="str">
        <f>Сырьё!B8</f>
        <v>Lomon  R996</v>
      </c>
      <c r="B14" s="30">
        <f>E2*0.015</f>
        <v>1.5</v>
      </c>
      <c r="C14" s="31"/>
      <c r="D14" s="31"/>
      <c r="E14" s="31"/>
    </row>
    <row r="15" spans="1:5" ht="16.5" customHeight="1">
      <c r="A15" s="35" t="str">
        <f>Сырьё!B9</f>
        <v>Omyacarb 2-UR</v>
      </c>
      <c r="B15" s="36">
        <f>E2*0.4</f>
        <v>40</v>
      </c>
      <c r="C15" s="37"/>
      <c r="D15" s="37"/>
      <c r="E15" s="37"/>
    </row>
    <row r="16" spans="1:5" ht="16.5" customHeight="1">
      <c r="A16" s="35" t="str">
        <f>Сырьё!B12</f>
        <v>Omyacarb 5UR</v>
      </c>
      <c r="B16" s="33">
        <f>E2*0.15</f>
        <v>15</v>
      </c>
      <c r="C16" s="34"/>
      <c r="D16" s="34"/>
      <c r="E16" s="34"/>
    </row>
    <row r="17" spans="1:5" ht="21" customHeight="1">
      <c r="A17" s="184" t="s">
        <v>89</v>
      </c>
      <c r="B17" s="185"/>
      <c r="C17" s="185"/>
      <c r="D17" s="185"/>
      <c r="E17" s="186"/>
    </row>
    <row r="18" spans="1:5" ht="16.5" customHeight="1">
      <c r="A18" s="29" t="str">
        <f>Сырьё!B2</f>
        <v>DL-430</v>
      </c>
      <c r="B18" s="30">
        <f>E2*((2-10*G7)/50)</f>
        <v>0</v>
      </c>
      <c r="C18" s="38"/>
      <c r="D18" s="38"/>
      <c r="E18" s="38"/>
    </row>
    <row r="19" spans="1:5" ht="16.5" customHeight="1">
      <c r="A19" s="35" t="str">
        <f>'[4]Сырьё'!$B$9</f>
        <v>Консервант Acticide FI</v>
      </c>
      <c r="B19" s="36">
        <f>E2*0.002</f>
        <v>0.2</v>
      </c>
      <c r="C19" s="37"/>
      <c r="D19" s="37"/>
      <c r="E19" s="37"/>
    </row>
    <row r="20" spans="1:5" ht="15.75" customHeight="1">
      <c r="A20" s="35" t="s">
        <v>61</v>
      </c>
      <c r="B20" s="36">
        <f>E2*0.0005</f>
        <v>0.05</v>
      </c>
      <c r="C20" s="37"/>
      <c r="D20" s="37"/>
      <c r="E20" s="37"/>
    </row>
    <row r="21" spans="1:5" s="56" customFormat="1" ht="16.5" customHeight="1">
      <c r="A21" s="35" t="str">
        <f>'[4]Сырьё'!$B$7</f>
        <v>Пеногаситель Serdas 7015</v>
      </c>
      <c r="B21" s="36">
        <f>E2*0.001</f>
        <v>0.1</v>
      </c>
      <c r="C21" s="37"/>
      <c r="D21" s="37"/>
      <c r="E21" s="37"/>
    </row>
    <row r="22" spans="1:5" ht="16.5" customHeight="1">
      <c r="A22" s="32" t="str">
        <f>Сырьё!B17</f>
        <v>Загуститель Rheovis 112</v>
      </c>
      <c r="B22" s="33">
        <f>E2*0.002</f>
        <v>0.2</v>
      </c>
      <c r="C22" s="190" t="s">
        <v>91</v>
      </c>
      <c r="D22" s="191"/>
      <c r="E22" s="192"/>
    </row>
    <row r="23" spans="1:5" ht="16.5" customHeight="1">
      <c r="A23" s="72" t="s">
        <v>0</v>
      </c>
      <c r="B23" s="33">
        <f>E2*0.002</f>
        <v>0.2</v>
      </c>
      <c r="C23" s="193"/>
      <c r="D23" s="194"/>
      <c r="E23" s="195"/>
    </row>
    <row r="24" spans="1:5" ht="33" customHeight="1">
      <c r="A24" s="187" t="s">
        <v>92</v>
      </c>
      <c r="B24" s="188"/>
      <c r="C24" s="188"/>
      <c r="D24" s="188"/>
      <c r="E24" s="189"/>
    </row>
    <row r="25" spans="1:5" ht="16.5" customHeight="1">
      <c r="A25" s="4" t="s">
        <v>11</v>
      </c>
      <c r="B25" s="3">
        <f>SUM(B6:B23)</f>
        <v>100</v>
      </c>
      <c r="C25" s="1"/>
      <c r="D25" s="1"/>
      <c r="E25" s="1"/>
    </row>
    <row r="26" spans="1:5" ht="13.5" customHeight="1">
      <c r="A26" s="12" t="s">
        <v>32</v>
      </c>
      <c r="B26" s="13">
        <f>(10*G7+B8+B10*0.1+B11*0.4+B12+B14+B15+B16+B18*0.5+(B21+B22)*0.3)*100/E2</f>
        <v>59.24</v>
      </c>
      <c r="C26" s="14"/>
      <c r="D26" s="14"/>
      <c r="E26" s="14"/>
    </row>
    <row r="27" spans="1:5" ht="21.75" customHeight="1">
      <c r="A27" s="148" t="s">
        <v>45</v>
      </c>
      <c r="B27" s="148"/>
      <c r="C27" s="148" t="s">
        <v>12</v>
      </c>
      <c r="D27" s="148"/>
      <c r="E27" s="148"/>
    </row>
    <row r="28" spans="1:10" s="16" customFormat="1" ht="11.25" customHeight="1">
      <c r="A28" s="163" t="s">
        <v>33</v>
      </c>
      <c r="B28" s="163"/>
      <c r="C28" s="163"/>
      <c r="D28" s="163"/>
      <c r="E28" s="163"/>
      <c r="F28" s="15"/>
      <c r="G28" s="15"/>
      <c r="H28" s="15"/>
      <c r="I28" s="15"/>
      <c r="J28" s="15"/>
    </row>
    <row r="29" spans="1:10" s="16" customFormat="1" ht="39" customHeight="1">
      <c r="A29" s="17" t="s">
        <v>13</v>
      </c>
      <c r="B29" s="159" t="s">
        <v>47</v>
      </c>
      <c r="C29" s="152"/>
      <c r="D29" s="151" t="s">
        <v>14</v>
      </c>
      <c r="E29" s="152"/>
      <c r="F29" s="18"/>
      <c r="G29" s="19"/>
      <c r="H29" s="19"/>
      <c r="I29" s="19"/>
      <c r="J29" s="19"/>
    </row>
    <row r="30" spans="1:10" s="16" customFormat="1" ht="18" customHeight="1">
      <c r="A30" s="20" t="s">
        <v>4</v>
      </c>
      <c r="B30" s="197" t="s">
        <v>34</v>
      </c>
      <c r="C30" s="179"/>
      <c r="D30" s="178" t="s">
        <v>2</v>
      </c>
      <c r="E30" s="179"/>
      <c r="F30" s="18"/>
      <c r="G30" s="19"/>
      <c r="H30" s="19"/>
      <c r="I30" s="19"/>
      <c r="J30" s="19"/>
    </row>
    <row r="31" spans="1:10" s="16" customFormat="1" ht="18" customHeight="1">
      <c r="A31" s="20" t="s">
        <v>35</v>
      </c>
      <c r="B31" s="197" t="s">
        <v>36</v>
      </c>
      <c r="C31" s="179"/>
      <c r="D31" s="178"/>
      <c r="E31" s="179"/>
      <c r="F31" s="18"/>
      <c r="G31" s="19"/>
      <c r="H31" s="19"/>
      <c r="I31" s="19"/>
      <c r="J31" s="19"/>
    </row>
    <row r="32" spans="1:10" s="16" customFormat="1" ht="18" customHeight="1">
      <c r="A32" s="20" t="s">
        <v>16</v>
      </c>
      <c r="B32" s="198" t="s">
        <v>37</v>
      </c>
      <c r="C32" s="199"/>
      <c r="D32" s="178" t="s">
        <v>3</v>
      </c>
      <c r="E32" s="179"/>
      <c r="F32" s="18"/>
      <c r="G32" s="19"/>
      <c r="H32" s="19"/>
      <c r="I32" s="19"/>
      <c r="J32" s="19"/>
    </row>
    <row r="33" spans="1:10" s="16" customFormat="1" ht="30" customHeight="1">
      <c r="A33" s="21" t="s">
        <v>38</v>
      </c>
      <c r="B33" s="198" t="s">
        <v>81</v>
      </c>
      <c r="C33" s="199"/>
      <c r="D33" s="178"/>
      <c r="E33" s="179"/>
      <c r="F33" s="18"/>
      <c r="G33" s="19"/>
      <c r="H33" s="19"/>
      <c r="I33" s="19"/>
      <c r="J33" s="19"/>
    </row>
    <row r="34" spans="1:10" s="16" customFormat="1" ht="18" customHeight="1">
      <c r="A34" s="20" t="s">
        <v>17</v>
      </c>
      <c r="B34" s="198" t="s">
        <v>40</v>
      </c>
      <c r="C34" s="199"/>
      <c r="D34" s="178"/>
      <c r="E34" s="179"/>
      <c r="F34" s="18"/>
      <c r="G34" s="19"/>
      <c r="H34" s="19"/>
      <c r="I34" s="19"/>
      <c r="J34" s="19"/>
    </row>
    <row r="35" spans="1:10" s="16" customFormat="1" ht="30" customHeight="1">
      <c r="A35" s="21" t="s">
        <v>41</v>
      </c>
      <c r="B35" s="198" t="s">
        <v>42</v>
      </c>
      <c r="C35" s="199"/>
      <c r="D35" s="178" t="s">
        <v>2</v>
      </c>
      <c r="E35" s="179"/>
      <c r="F35" s="18"/>
      <c r="G35" s="19"/>
      <c r="H35" s="19"/>
      <c r="I35" s="19"/>
      <c r="J35" s="19"/>
    </row>
    <row r="36" spans="1:6" s="16" customFormat="1" ht="14.25" customHeight="1">
      <c r="A36" s="171" t="s">
        <v>15</v>
      </c>
      <c r="B36" s="171"/>
      <c r="C36" s="22"/>
      <c r="D36" s="23" t="s">
        <v>19</v>
      </c>
      <c r="E36" s="24" t="s">
        <v>150</v>
      </c>
      <c r="F36" s="25"/>
    </row>
  </sheetData>
  <sheetProtection selectLockedCells="1"/>
  <mergeCells count="28">
    <mergeCell ref="D4:E4"/>
    <mergeCell ref="B4:C4"/>
    <mergeCell ref="A36:B36"/>
    <mergeCell ref="B30:C30"/>
    <mergeCell ref="B31:C31"/>
    <mergeCell ref="B34:C34"/>
    <mergeCell ref="B35:C35"/>
    <mergeCell ref="B32:C32"/>
    <mergeCell ref="B33:C33"/>
    <mergeCell ref="C27:E27"/>
    <mergeCell ref="A1:E1"/>
    <mergeCell ref="B29:C29"/>
    <mergeCell ref="A28:E28"/>
    <mergeCell ref="A13:E13"/>
    <mergeCell ref="A17:E17"/>
    <mergeCell ref="A24:E24"/>
    <mergeCell ref="A3:C3"/>
    <mergeCell ref="B2:C2"/>
    <mergeCell ref="A27:B27"/>
    <mergeCell ref="A9:E9"/>
    <mergeCell ref="C22:E23"/>
    <mergeCell ref="D35:E35"/>
    <mergeCell ref="D29:E29"/>
    <mergeCell ref="D30:E30"/>
    <mergeCell ref="D31:E31"/>
    <mergeCell ref="D34:E34"/>
    <mergeCell ref="D32:E32"/>
    <mergeCell ref="D33:E33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="75" zoomScaleNormal="75" zoomScalePageLayoutView="0" workbookViewId="0" topLeftCell="A1">
      <selection activeCell="E3" sqref="E3"/>
    </sheetView>
  </sheetViews>
  <sheetFormatPr defaultColWidth="9.00390625" defaultRowHeight="12.75"/>
  <cols>
    <col min="1" max="1" width="37.00390625" style="63" customWidth="1"/>
    <col min="2" max="2" width="12.875" style="63" customWidth="1"/>
    <col min="3" max="3" width="13.875" style="63" customWidth="1"/>
    <col min="4" max="4" width="13.625" style="63" customWidth="1"/>
    <col min="5" max="5" width="14.75390625" style="63" customWidth="1"/>
    <col min="6" max="16384" width="9.125" style="63" customWidth="1"/>
  </cols>
  <sheetData>
    <row r="1" spans="1:5" ht="39.75" customHeight="1">
      <c r="A1" s="218" t="s">
        <v>152</v>
      </c>
      <c r="B1" s="219"/>
      <c r="C1" s="219"/>
      <c r="D1" s="219"/>
      <c r="E1" s="219"/>
    </row>
    <row r="2" spans="1:5" ht="19.5" customHeight="1">
      <c r="A2" s="64" t="s">
        <v>28</v>
      </c>
      <c r="B2" s="232" t="s">
        <v>190</v>
      </c>
      <c r="C2" s="233"/>
      <c r="D2" s="65" t="s">
        <v>7</v>
      </c>
      <c r="E2" s="66">
        <v>100</v>
      </c>
    </row>
    <row r="3" spans="1:5" ht="16.5" customHeight="1">
      <c r="A3" s="229" t="s">
        <v>29</v>
      </c>
      <c r="B3" s="230"/>
      <c r="C3" s="231"/>
      <c r="D3" s="64" t="s">
        <v>21</v>
      </c>
      <c r="E3" s="66"/>
    </row>
    <row r="4" spans="1:5" ht="18.75" customHeight="1">
      <c r="A4" s="103" t="s">
        <v>54</v>
      </c>
      <c r="B4" s="209" t="s">
        <v>55</v>
      </c>
      <c r="C4" s="209"/>
      <c r="D4" s="209" t="s">
        <v>20</v>
      </c>
      <c r="E4" s="209"/>
    </row>
    <row r="5" spans="1:5" ht="45" customHeight="1">
      <c r="A5" s="68" t="s">
        <v>8</v>
      </c>
      <c r="B5" s="68" t="s">
        <v>5</v>
      </c>
      <c r="C5" s="68" t="s">
        <v>9</v>
      </c>
      <c r="D5" s="68" t="s">
        <v>6</v>
      </c>
      <c r="E5" s="68" t="s">
        <v>10</v>
      </c>
    </row>
    <row r="6" spans="1:5" ht="16.5" customHeight="1">
      <c r="A6" s="69" t="s">
        <v>0</v>
      </c>
      <c r="B6" s="70">
        <f>E2-SUM(B7:B24)</f>
        <v>38.45</v>
      </c>
      <c r="C6" s="71"/>
      <c r="D6" s="71"/>
      <c r="E6" s="71"/>
    </row>
    <row r="7" spans="1:5" ht="16.5" customHeight="1">
      <c r="A7" s="72" t="str">
        <f>Сырьё!B27</f>
        <v>Natrosol 250 HHBR</v>
      </c>
      <c r="B7" s="85">
        <f>E2*0.004</f>
        <v>0.4</v>
      </c>
      <c r="C7" s="74"/>
      <c r="D7" s="74"/>
      <c r="E7" s="105"/>
    </row>
    <row r="8" spans="1:5" ht="15.75" customHeight="1">
      <c r="A8" s="215" t="s">
        <v>90</v>
      </c>
      <c r="B8" s="216"/>
      <c r="C8" s="216"/>
      <c r="D8" s="216"/>
      <c r="E8" s="217"/>
    </row>
    <row r="9" spans="1:5" ht="16.5" customHeight="1">
      <c r="A9" s="69" t="s">
        <v>30</v>
      </c>
      <c r="B9" s="70">
        <f>E2*0.015</f>
        <v>1.5</v>
      </c>
      <c r="C9" s="71"/>
      <c r="D9" s="71"/>
      <c r="E9" s="71"/>
    </row>
    <row r="10" spans="1:5" ht="16.5" customHeight="1">
      <c r="A10" s="75" t="str">
        <f>Сырьё!B5</f>
        <v>Диспергатор Opotan N4045</v>
      </c>
      <c r="B10" s="76">
        <f>E2*0.0015</f>
        <v>0.15</v>
      </c>
      <c r="C10" s="77"/>
      <c r="D10" s="77"/>
      <c r="E10" s="77"/>
    </row>
    <row r="11" spans="1:5" ht="17.25" customHeight="1">
      <c r="A11" s="223" t="s">
        <v>86</v>
      </c>
      <c r="B11" s="224"/>
      <c r="C11" s="224"/>
      <c r="D11" s="224"/>
      <c r="E11" s="225"/>
    </row>
    <row r="12" spans="1:5" ht="17.25" customHeight="1" hidden="1">
      <c r="A12" s="75"/>
      <c r="B12" s="85"/>
      <c r="C12" s="74"/>
      <c r="D12" s="74"/>
      <c r="E12" s="74"/>
    </row>
    <row r="13" spans="1:5" ht="17.25" customHeight="1">
      <c r="A13" s="35" t="str">
        <f>Сырьё!$B$6</f>
        <v>Пеногаситель Contrapen PR-194</v>
      </c>
      <c r="B13" s="76">
        <f>E2*0.0005</f>
        <v>0.05</v>
      </c>
      <c r="C13" s="77"/>
      <c r="D13" s="77"/>
      <c r="E13" s="77"/>
    </row>
    <row r="14" spans="1:5" ht="17.25" customHeight="1">
      <c r="A14" s="75" t="s">
        <v>160</v>
      </c>
      <c r="B14" s="85">
        <f>E2*0.005</f>
        <v>0.5</v>
      </c>
      <c r="C14" s="115"/>
      <c r="D14" s="115"/>
      <c r="E14" s="115"/>
    </row>
    <row r="15" spans="1:5" ht="16.5" customHeight="1">
      <c r="A15" s="69" t="str">
        <f>Сырьё!B8</f>
        <v>Lomon  R996</v>
      </c>
      <c r="B15" s="70">
        <f>E2*0.01</f>
        <v>1</v>
      </c>
      <c r="C15" s="71"/>
      <c r="D15" s="71"/>
      <c r="E15" s="71"/>
    </row>
    <row r="16" spans="1:5" ht="16.5" customHeight="1">
      <c r="A16" s="75" t="str">
        <f>Сырьё!B9</f>
        <v>Omyacarb 2-UR</v>
      </c>
      <c r="B16" s="76">
        <f>E2*0.4</f>
        <v>40</v>
      </c>
      <c r="C16" s="77"/>
      <c r="D16" s="77"/>
      <c r="E16" s="77"/>
    </row>
    <row r="17" spans="1:5" ht="16.5" customHeight="1">
      <c r="A17" s="75" t="str">
        <f>Сырьё!B10</f>
        <v>Omyacarb 5UR</v>
      </c>
      <c r="B17" s="85">
        <f>E2*0.15</f>
        <v>15</v>
      </c>
      <c r="C17" s="74"/>
      <c r="D17" s="74"/>
      <c r="E17" s="74"/>
    </row>
    <row r="18" spans="1:5" ht="17.25" customHeight="1">
      <c r="A18" s="215" t="s">
        <v>89</v>
      </c>
      <c r="B18" s="216"/>
      <c r="C18" s="216"/>
      <c r="D18" s="216"/>
      <c r="E18" s="217"/>
    </row>
    <row r="19" spans="1:5" ht="16.5" customHeight="1">
      <c r="A19" s="106" t="str">
        <f>Сырьё!B2</f>
        <v>DL-430</v>
      </c>
      <c r="B19" s="70">
        <f>E2*0.02</f>
        <v>2</v>
      </c>
      <c r="C19" s="84"/>
      <c r="D19" s="84"/>
      <c r="E19" s="84"/>
    </row>
    <row r="20" spans="1:5" s="104" customFormat="1" ht="16.5" customHeight="1">
      <c r="A20" s="75" t="str">
        <f>'[3]Сырьё'!$B$9</f>
        <v>Консервант Acticide FI</v>
      </c>
      <c r="B20" s="76">
        <f>E2*0.003</f>
        <v>0.3</v>
      </c>
      <c r="C20" s="77"/>
      <c r="D20" s="77"/>
      <c r="E20" s="77"/>
    </row>
    <row r="21" spans="1:5" ht="15.75" customHeight="1">
      <c r="A21" s="75" t="s">
        <v>61</v>
      </c>
      <c r="B21" s="76">
        <f>E2*0.0005</f>
        <v>0.05</v>
      </c>
      <c r="C21" s="77"/>
      <c r="D21" s="77"/>
      <c r="E21" s="77"/>
    </row>
    <row r="22" spans="1:5" ht="16.5" customHeight="1">
      <c r="A22" s="35" t="str">
        <f>Сырьё!$B$6</f>
        <v>Пеногаситель Contrapen PR-194</v>
      </c>
      <c r="B22" s="85">
        <f>E2*0.0005</f>
        <v>0.05</v>
      </c>
      <c r="C22" s="74"/>
      <c r="D22" s="74"/>
      <c r="E22" s="74"/>
    </row>
    <row r="23" spans="1:5" ht="16.5" customHeight="1">
      <c r="A23" s="60" t="str">
        <f>Сырьё!B17</f>
        <v>Загуститель Rheovis 112</v>
      </c>
      <c r="B23" s="85">
        <f>E2*0.0035</f>
        <v>0.35000000000000003</v>
      </c>
      <c r="C23" s="243" t="s">
        <v>186</v>
      </c>
      <c r="D23" s="244"/>
      <c r="E23" s="245"/>
    </row>
    <row r="24" spans="1:5" ht="16.5" customHeight="1">
      <c r="A24" s="72" t="s">
        <v>0</v>
      </c>
      <c r="B24" s="85">
        <f>E2*0.002</f>
        <v>0.2</v>
      </c>
      <c r="C24" s="246" t="s">
        <v>187</v>
      </c>
      <c r="D24" s="247"/>
      <c r="E24" s="248"/>
    </row>
    <row r="25" spans="1:5" ht="14.25" customHeight="1">
      <c r="A25" s="86" t="s">
        <v>11</v>
      </c>
      <c r="B25" s="87">
        <f>SUM(B6:B24)</f>
        <v>99.99999999999999</v>
      </c>
      <c r="C25" s="88"/>
      <c r="D25" s="88"/>
      <c r="E25" s="88"/>
    </row>
    <row r="26" spans="1:5" ht="10.5" customHeight="1">
      <c r="A26" s="89" t="s">
        <v>32</v>
      </c>
      <c r="B26" s="90">
        <f>(B7+B9*0.1+B10*0.4+B19*0.5+B15+B16+B17+(B20+B22)*0.3)*100/E2</f>
        <v>57.715</v>
      </c>
      <c r="C26" s="91"/>
      <c r="D26" s="91"/>
      <c r="E26" s="91"/>
    </row>
    <row r="27" spans="1:5" ht="17.25" customHeight="1">
      <c r="A27" s="234" t="s">
        <v>45</v>
      </c>
      <c r="B27" s="234"/>
      <c r="C27" s="234" t="s">
        <v>12</v>
      </c>
      <c r="D27" s="234"/>
      <c r="E27" s="234"/>
    </row>
    <row r="28" spans="1:10" s="93" customFormat="1" ht="15" customHeight="1">
      <c r="A28" s="222" t="s">
        <v>33</v>
      </c>
      <c r="B28" s="222"/>
      <c r="C28" s="222"/>
      <c r="D28" s="222"/>
      <c r="E28" s="222"/>
      <c r="F28" s="92"/>
      <c r="G28" s="92"/>
      <c r="H28" s="92"/>
      <c r="I28" s="92"/>
      <c r="J28" s="92"/>
    </row>
    <row r="29" spans="1:10" s="93" customFormat="1" ht="39" customHeight="1">
      <c r="A29" s="94" t="s">
        <v>13</v>
      </c>
      <c r="B29" s="220" t="s">
        <v>47</v>
      </c>
      <c r="C29" s="221"/>
      <c r="D29" s="242" t="s">
        <v>14</v>
      </c>
      <c r="E29" s="221"/>
      <c r="F29" s="95"/>
      <c r="G29" s="96"/>
      <c r="H29" s="96"/>
      <c r="I29" s="96"/>
      <c r="J29" s="96"/>
    </row>
    <row r="30" spans="1:10" s="93" customFormat="1" ht="18" customHeight="1">
      <c r="A30" s="97" t="s">
        <v>4</v>
      </c>
      <c r="B30" s="211" t="s">
        <v>34</v>
      </c>
      <c r="C30" s="212"/>
      <c r="D30" s="241" t="s">
        <v>2</v>
      </c>
      <c r="E30" s="212"/>
      <c r="F30" s="95"/>
      <c r="G30" s="96"/>
      <c r="H30" s="96"/>
      <c r="I30" s="96"/>
      <c r="J30" s="96"/>
    </row>
    <row r="31" spans="1:10" s="93" customFormat="1" ht="18" customHeight="1">
      <c r="A31" s="97" t="s">
        <v>35</v>
      </c>
      <c r="B31" s="211" t="s">
        <v>36</v>
      </c>
      <c r="C31" s="212"/>
      <c r="D31" s="241"/>
      <c r="E31" s="212"/>
      <c r="F31" s="95"/>
      <c r="G31" s="96"/>
      <c r="H31" s="96"/>
      <c r="I31" s="96"/>
      <c r="J31" s="96"/>
    </row>
    <row r="32" spans="1:10" s="93" customFormat="1" ht="18" customHeight="1">
      <c r="A32" s="97" t="s">
        <v>16</v>
      </c>
      <c r="B32" s="213" t="s">
        <v>37</v>
      </c>
      <c r="C32" s="214"/>
      <c r="D32" s="241" t="s">
        <v>3</v>
      </c>
      <c r="E32" s="212"/>
      <c r="F32" s="95"/>
      <c r="G32" s="96"/>
      <c r="H32" s="96"/>
      <c r="I32" s="96"/>
      <c r="J32" s="96"/>
    </row>
    <row r="33" spans="1:10" s="93" customFormat="1" ht="30" customHeight="1">
      <c r="A33" s="98" t="s">
        <v>38</v>
      </c>
      <c r="B33" s="213" t="s">
        <v>81</v>
      </c>
      <c r="C33" s="214"/>
      <c r="D33" s="241"/>
      <c r="E33" s="212"/>
      <c r="F33" s="95"/>
      <c r="G33" s="96"/>
      <c r="H33" s="96"/>
      <c r="I33" s="96"/>
      <c r="J33" s="96"/>
    </row>
    <row r="34" spans="1:10" s="93" customFormat="1" ht="18" customHeight="1">
      <c r="A34" s="97" t="s">
        <v>17</v>
      </c>
      <c r="B34" s="213" t="s">
        <v>40</v>
      </c>
      <c r="C34" s="214"/>
      <c r="D34" s="241"/>
      <c r="E34" s="212"/>
      <c r="F34" s="95"/>
      <c r="G34" s="96"/>
      <c r="H34" s="96"/>
      <c r="I34" s="96"/>
      <c r="J34" s="96"/>
    </row>
    <row r="35" spans="1:10" s="93" customFormat="1" ht="30" customHeight="1">
      <c r="A35" s="98" t="s">
        <v>41</v>
      </c>
      <c r="B35" s="213" t="s">
        <v>42</v>
      </c>
      <c r="C35" s="214"/>
      <c r="D35" s="241" t="s">
        <v>2</v>
      </c>
      <c r="E35" s="212"/>
      <c r="F35" s="95"/>
      <c r="G35" s="96"/>
      <c r="H35" s="96"/>
      <c r="I35" s="96"/>
      <c r="J35" s="96"/>
    </row>
    <row r="36" spans="1:6" s="93" customFormat="1" ht="24" customHeight="1">
      <c r="A36" s="210" t="s">
        <v>15</v>
      </c>
      <c r="B36" s="210"/>
      <c r="C36" s="99"/>
      <c r="D36" s="100" t="s">
        <v>19</v>
      </c>
      <c r="E36" s="24" t="s">
        <v>161</v>
      </c>
      <c r="F36" s="102"/>
    </row>
  </sheetData>
  <sheetProtection/>
  <mergeCells count="28">
    <mergeCell ref="D33:E33"/>
    <mergeCell ref="C27:E27"/>
    <mergeCell ref="D4:E4"/>
    <mergeCell ref="D29:E29"/>
    <mergeCell ref="D30:E30"/>
    <mergeCell ref="A8:E8"/>
    <mergeCell ref="C24:E24"/>
    <mergeCell ref="B4:C4"/>
    <mergeCell ref="D31:E31"/>
    <mergeCell ref="A1:E1"/>
    <mergeCell ref="B29:C29"/>
    <mergeCell ref="A28:E28"/>
    <mergeCell ref="A11:E11"/>
    <mergeCell ref="A18:E18"/>
    <mergeCell ref="A3:C3"/>
    <mergeCell ref="B2:C2"/>
    <mergeCell ref="A27:B27"/>
    <mergeCell ref="C23:E23"/>
    <mergeCell ref="D34:E34"/>
    <mergeCell ref="A36:B36"/>
    <mergeCell ref="B30:C30"/>
    <mergeCell ref="B31:C31"/>
    <mergeCell ref="B34:C34"/>
    <mergeCell ref="B35:C35"/>
    <mergeCell ref="B32:C32"/>
    <mergeCell ref="B33:C33"/>
    <mergeCell ref="D35:E35"/>
    <mergeCell ref="D32:E32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</sheetPr>
  <dimension ref="A1:J37"/>
  <sheetViews>
    <sheetView showGridLines="0"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37.00390625" style="63" customWidth="1"/>
    <col min="2" max="2" width="12.875" style="63" customWidth="1"/>
    <col min="3" max="3" width="13.875" style="63" customWidth="1"/>
    <col min="4" max="4" width="13.625" style="63" customWidth="1"/>
    <col min="5" max="5" width="14.75390625" style="63" customWidth="1"/>
    <col min="6" max="16384" width="9.125" style="63" customWidth="1"/>
  </cols>
  <sheetData>
    <row r="1" spans="1:5" ht="39.75" customHeight="1">
      <c r="A1" s="218" t="s">
        <v>152</v>
      </c>
      <c r="B1" s="219"/>
      <c r="C1" s="219"/>
      <c r="D1" s="219"/>
      <c r="E1" s="219"/>
    </row>
    <row r="2" spans="1:5" ht="19.5" customHeight="1">
      <c r="A2" s="64" t="s">
        <v>28</v>
      </c>
      <c r="B2" s="232" t="s">
        <v>189</v>
      </c>
      <c r="C2" s="233"/>
      <c r="D2" s="65" t="s">
        <v>7</v>
      </c>
      <c r="E2" s="66">
        <v>2000</v>
      </c>
    </row>
    <row r="3" spans="1:5" ht="16.5" customHeight="1">
      <c r="A3" s="229" t="s">
        <v>29</v>
      </c>
      <c r="B3" s="230"/>
      <c r="C3" s="231"/>
      <c r="D3" s="64" t="s">
        <v>21</v>
      </c>
      <c r="E3" s="66"/>
    </row>
    <row r="4" spans="1:5" ht="18.75" customHeight="1">
      <c r="A4" s="103" t="s">
        <v>54</v>
      </c>
      <c r="B4" s="209" t="s">
        <v>55</v>
      </c>
      <c r="C4" s="209"/>
      <c r="D4" s="209" t="s">
        <v>20</v>
      </c>
      <c r="E4" s="209"/>
    </row>
    <row r="5" spans="1:5" ht="45" customHeight="1">
      <c r="A5" s="68" t="s">
        <v>8</v>
      </c>
      <c r="B5" s="68" t="s">
        <v>5</v>
      </c>
      <c r="C5" s="68" t="s">
        <v>9</v>
      </c>
      <c r="D5" s="68" t="s">
        <v>6</v>
      </c>
      <c r="E5" s="68" t="s">
        <v>10</v>
      </c>
    </row>
    <row r="6" spans="1:5" ht="16.5" customHeight="1">
      <c r="A6" s="69" t="s">
        <v>0</v>
      </c>
      <c r="B6" s="70">
        <f>E2-SUM(B7:B25)</f>
        <v>769</v>
      </c>
      <c r="C6" s="71"/>
      <c r="D6" s="71"/>
      <c r="E6" s="71"/>
    </row>
    <row r="7" spans="1:5" ht="16.5" customHeight="1">
      <c r="A7" s="72" t="str">
        <f>Сырьё!B15</f>
        <v>Polycol  WP-20B</v>
      </c>
      <c r="B7" s="85">
        <f>E2*0.004</f>
        <v>8</v>
      </c>
      <c r="C7" s="74"/>
      <c r="D7" s="74"/>
      <c r="E7" s="105"/>
    </row>
    <row r="8" spans="1:5" ht="15.75" customHeight="1">
      <c r="A8" s="215" t="s">
        <v>90</v>
      </c>
      <c r="B8" s="216"/>
      <c r="C8" s="216"/>
      <c r="D8" s="216"/>
      <c r="E8" s="217"/>
    </row>
    <row r="9" spans="1:5" ht="16.5" customHeight="1">
      <c r="A9" s="69" t="s">
        <v>30</v>
      </c>
      <c r="B9" s="70">
        <f>E2*0.015</f>
        <v>30</v>
      </c>
      <c r="C9" s="71"/>
      <c r="D9" s="71"/>
      <c r="E9" s="71"/>
    </row>
    <row r="10" spans="1:5" ht="16.5" customHeight="1">
      <c r="A10" s="75" t="str">
        <f>Сырьё!B5</f>
        <v>Диспергатор Opotan N4045</v>
      </c>
      <c r="B10" s="76">
        <f>E2*0.0015</f>
        <v>3</v>
      </c>
      <c r="C10" s="77"/>
      <c r="D10" s="77"/>
      <c r="E10" s="77"/>
    </row>
    <row r="11" spans="1:5" ht="16.5" customHeight="1" hidden="1">
      <c r="A11" s="75"/>
      <c r="B11" s="76"/>
      <c r="C11" s="77"/>
      <c r="D11" s="77"/>
      <c r="E11" s="77"/>
    </row>
    <row r="12" spans="1:5" ht="17.25" customHeight="1">
      <c r="A12" s="223" t="s">
        <v>86</v>
      </c>
      <c r="B12" s="224"/>
      <c r="C12" s="224"/>
      <c r="D12" s="224"/>
      <c r="E12" s="225"/>
    </row>
    <row r="13" spans="1:5" ht="17.25" customHeight="1" hidden="1">
      <c r="A13" s="75"/>
      <c r="B13" s="85"/>
      <c r="C13" s="74"/>
      <c r="D13" s="74"/>
      <c r="E13" s="74"/>
    </row>
    <row r="14" spans="1:5" ht="17.25" customHeight="1">
      <c r="A14" s="35" t="str">
        <f>Сырьё!$B$6</f>
        <v>Пеногаситель Contrapen PR-194</v>
      </c>
      <c r="B14" s="76">
        <f>E2*0.0005</f>
        <v>1</v>
      </c>
      <c r="C14" s="77"/>
      <c r="D14" s="77"/>
      <c r="E14" s="77"/>
    </row>
    <row r="15" spans="1:5" ht="17.25" customHeight="1">
      <c r="A15" s="75" t="s">
        <v>160</v>
      </c>
      <c r="B15" s="85">
        <f>E2*0.005</f>
        <v>10</v>
      </c>
      <c r="C15" s="115"/>
      <c r="D15" s="115"/>
      <c r="E15" s="115"/>
    </row>
    <row r="16" spans="1:5" ht="16.5" customHeight="1">
      <c r="A16" s="69" t="str">
        <f>Сырьё!B8</f>
        <v>Lomon  R996</v>
      </c>
      <c r="B16" s="70">
        <f>E2*0.01</f>
        <v>20</v>
      </c>
      <c r="C16" s="71"/>
      <c r="D16" s="71"/>
      <c r="E16" s="71"/>
    </row>
    <row r="17" spans="1:5" ht="16.5" customHeight="1">
      <c r="A17" s="75" t="str">
        <f>Сырьё!B9</f>
        <v>Omyacarb 2-UR</v>
      </c>
      <c r="B17" s="76">
        <f>E2*0.4</f>
        <v>800</v>
      </c>
      <c r="C17" s="77"/>
      <c r="D17" s="77"/>
      <c r="E17" s="77"/>
    </row>
    <row r="18" spans="1:5" ht="16.5" customHeight="1">
      <c r="A18" s="75" t="str">
        <f>Сырьё!B10</f>
        <v>Omyacarb 5UR</v>
      </c>
      <c r="B18" s="85">
        <f>E2*0.15</f>
        <v>300</v>
      </c>
      <c r="C18" s="74"/>
      <c r="D18" s="74"/>
      <c r="E18" s="74"/>
    </row>
    <row r="19" spans="1:5" ht="17.25" customHeight="1">
      <c r="A19" s="215" t="s">
        <v>89</v>
      </c>
      <c r="B19" s="216"/>
      <c r="C19" s="216"/>
      <c r="D19" s="216"/>
      <c r="E19" s="217"/>
    </row>
    <row r="20" spans="1:5" ht="16.5" customHeight="1">
      <c r="A20" s="106" t="str">
        <f>Сырьё!B2</f>
        <v>DL-430</v>
      </c>
      <c r="B20" s="70">
        <f>E2*0.02</f>
        <v>40</v>
      </c>
      <c r="C20" s="84"/>
      <c r="D20" s="84"/>
      <c r="E20" s="84"/>
    </row>
    <row r="21" spans="1:5" s="104" customFormat="1" ht="16.5" customHeight="1">
      <c r="A21" s="75" t="str">
        <f>'[3]Сырьё'!$B$9</f>
        <v>Консервант Acticide FI</v>
      </c>
      <c r="B21" s="76">
        <f>E2*0.003</f>
        <v>6</v>
      </c>
      <c r="C21" s="77"/>
      <c r="D21" s="77"/>
      <c r="E21" s="77"/>
    </row>
    <row r="22" spans="1:5" ht="15.75" customHeight="1">
      <c r="A22" s="75" t="s">
        <v>61</v>
      </c>
      <c r="B22" s="76">
        <f>E2*0.0005</f>
        <v>1</v>
      </c>
      <c r="C22" s="77"/>
      <c r="D22" s="77"/>
      <c r="E22" s="77"/>
    </row>
    <row r="23" spans="1:5" ht="16.5" customHeight="1">
      <c r="A23" s="35" t="str">
        <f>Сырьё!$B$6</f>
        <v>Пеногаситель Contrapen PR-194</v>
      </c>
      <c r="B23" s="85">
        <f>E2*0.0005</f>
        <v>1</v>
      </c>
      <c r="C23" s="74"/>
      <c r="D23" s="74"/>
      <c r="E23" s="74"/>
    </row>
    <row r="24" spans="1:5" ht="16.5" customHeight="1">
      <c r="A24" s="60" t="str">
        <f>Сырьё!B17</f>
        <v>Загуститель Rheovis 112</v>
      </c>
      <c r="B24" s="85">
        <f>E2*0.0035</f>
        <v>7</v>
      </c>
      <c r="C24" s="243" t="s">
        <v>186</v>
      </c>
      <c r="D24" s="244"/>
      <c r="E24" s="245"/>
    </row>
    <row r="25" spans="1:5" ht="16.5" customHeight="1">
      <c r="A25" s="72" t="s">
        <v>0</v>
      </c>
      <c r="B25" s="85">
        <f>E2*0.002</f>
        <v>4</v>
      </c>
      <c r="C25" s="246" t="s">
        <v>187</v>
      </c>
      <c r="D25" s="247"/>
      <c r="E25" s="248"/>
    </row>
    <row r="26" spans="1:5" ht="14.25" customHeight="1">
      <c r="A26" s="86" t="s">
        <v>11</v>
      </c>
      <c r="B26" s="87">
        <f>SUM(B6:B25)</f>
        <v>2000</v>
      </c>
      <c r="C26" s="88"/>
      <c r="D26" s="88"/>
      <c r="E26" s="88"/>
    </row>
    <row r="27" spans="1:5" ht="10.5" customHeight="1">
      <c r="A27" s="89" t="s">
        <v>32</v>
      </c>
      <c r="B27" s="90">
        <f>(B7+B9*0.1+B10*0.4+B11+B20*0.5+B16+B17+B18+(B21+B23)*0.3)*100/E2</f>
        <v>57.715</v>
      </c>
      <c r="C27" s="91"/>
      <c r="D27" s="91"/>
      <c r="E27" s="91"/>
    </row>
    <row r="28" spans="1:5" ht="17.25" customHeight="1">
      <c r="A28" s="234" t="s">
        <v>45</v>
      </c>
      <c r="B28" s="234"/>
      <c r="C28" s="234" t="s">
        <v>12</v>
      </c>
      <c r="D28" s="234"/>
      <c r="E28" s="234"/>
    </row>
    <row r="29" spans="1:10" s="93" customFormat="1" ht="15" customHeight="1">
      <c r="A29" s="222" t="s">
        <v>33</v>
      </c>
      <c r="B29" s="222"/>
      <c r="C29" s="222"/>
      <c r="D29" s="222"/>
      <c r="E29" s="222"/>
      <c r="F29" s="92"/>
      <c r="G29" s="92"/>
      <c r="H29" s="92"/>
      <c r="I29" s="92"/>
      <c r="J29" s="92"/>
    </row>
    <row r="30" spans="1:10" s="93" customFormat="1" ht="39" customHeight="1">
      <c r="A30" s="94" t="s">
        <v>13</v>
      </c>
      <c r="B30" s="220" t="s">
        <v>47</v>
      </c>
      <c r="C30" s="221"/>
      <c r="D30" s="242" t="s">
        <v>14</v>
      </c>
      <c r="E30" s="221"/>
      <c r="F30" s="95"/>
      <c r="G30" s="96"/>
      <c r="H30" s="96"/>
      <c r="I30" s="96"/>
      <c r="J30" s="96"/>
    </row>
    <row r="31" spans="1:10" s="93" customFormat="1" ht="18" customHeight="1">
      <c r="A31" s="97" t="s">
        <v>4</v>
      </c>
      <c r="B31" s="211" t="s">
        <v>34</v>
      </c>
      <c r="C31" s="212"/>
      <c r="D31" s="241" t="s">
        <v>2</v>
      </c>
      <c r="E31" s="212"/>
      <c r="F31" s="95"/>
      <c r="G31" s="96"/>
      <c r="H31" s="96"/>
      <c r="I31" s="96"/>
      <c r="J31" s="96"/>
    </row>
    <row r="32" spans="1:10" s="93" customFormat="1" ht="18" customHeight="1">
      <c r="A32" s="97" t="s">
        <v>35</v>
      </c>
      <c r="B32" s="211" t="s">
        <v>36</v>
      </c>
      <c r="C32" s="212"/>
      <c r="D32" s="241"/>
      <c r="E32" s="212"/>
      <c r="F32" s="95"/>
      <c r="G32" s="96"/>
      <c r="H32" s="96"/>
      <c r="I32" s="96"/>
      <c r="J32" s="96"/>
    </row>
    <row r="33" spans="1:10" s="93" customFormat="1" ht="18" customHeight="1">
      <c r="A33" s="97" t="s">
        <v>16</v>
      </c>
      <c r="B33" s="213" t="s">
        <v>37</v>
      </c>
      <c r="C33" s="214"/>
      <c r="D33" s="241" t="s">
        <v>3</v>
      </c>
      <c r="E33" s="212"/>
      <c r="F33" s="95"/>
      <c r="G33" s="96"/>
      <c r="H33" s="96"/>
      <c r="I33" s="96"/>
      <c r="J33" s="96"/>
    </row>
    <row r="34" spans="1:10" s="93" customFormat="1" ht="30" customHeight="1">
      <c r="A34" s="98" t="s">
        <v>38</v>
      </c>
      <c r="B34" s="213" t="s">
        <v>81</v>
      </c>
      <c r="C34" s="214"/>
      <c r="D34" s="241"/>
      <c r="E34" s="212"/>
      <c r="F34" s="95"/>
      <c r="G34" s="96"/>
      <c r="H34" s="96"/>
      <c r="I34" s="96"/>
      <c r="J34" s="96"/>
    </row>
    <row r="35" spans="1:10" s="93" customFormat="1" ht="18" customHeight="1">
      <c r="A35" s="97" t="s">
        <v>17</v>
      </c>
      <c r="B35" s="213" t="s">
        <v>40</v>
      </c>
      <c r="C35" s="214"/>
      <c r="D35" s="241"/>
      <c r="E35" s="212"/>
      <c r="F35" s="95"/>
      <c r="G35" s="96"/>
      <c r="H35" s="96"/>
      <c r="I35" s="96"/>
      <c r="J35" s="96"/>
    </row>
    <row r="36" spans="1:10" s="93" customFormat="1" ht="30" customHeight="1">
      <c r="A36" s="98" t="s">
        <v>41</v>
      </c>
      <c r="B36" s="213" t="s">
        <v>42</v>
      </c>
      <c r="C36" s="214"/>
      <c r="D36" s="241" t="s">
        <v>2</v>
      </c>
      <c r="E36" s="212"/>
      <c r="F36" s="95"/>
      <c r="G36" s="96"/>
      <c r="H36" s="96"/>
      <c r="I36" s="96"/>
      <c r="J36" s="96"/>
    </row>
    <row r="37" spans="1:6" s="93" customFormat="1" ht="24" customHeight="1">
      <c r="A37" s="210" t="s">
        <v>15</v>
      </c>
      <c r="B37" s="210"/>
      <c r="C37" s="99"/>
      <c r="D37" s="100" t="s">
        <v>19</v>
      </c>
      <c r="E37" s="24" t="s">
        <v>161</v>
      </c>
      <c r="F37" s="102"/>
    </row>
  </sheetData>
  <sheetProtection selectLockedCells="1"/>
  <mergeCells count="28">
    <mergeCell ref="D35:E35"/>
    <mergeCell ref="A37:B37"/>
    <mergeCell ref="B31:C31"/>
    <mergeCell ref="B32:C32"/>
    <mergeCell ref="B35:C35"/>
    <mergeCell ref="B36:C36"/>
    <mergeCell ref="B33:C33"/>
    <mergeCell ref="B34:C34"/>
    <mergeCell ref="D36:E36"/>
    <mergeCell ref="D33:E33"/>
    <mergeCell ref="A1:E1"/>
    <mergeCell ref="B30:C30"/>
    <mergeCell ref="A29:E29"/>
    <mergeCell ref="A12:E12"/>
    <mergeCell ref="A19:E19"/>
    <mergeCell ref="A3:C3"/>
    <mergeCell ref="B2:C2"/>
    <mergeCell ref="A28:B28"/>
    <mergeCell ref="C24:E24"/>
    <mergeCell ref="D34:E34"/>
    <mergeCell ref="C28:E28"/>
    <mergeCell ref="D4:E4"/>
    <mergeCell ref="D30:E30"/>
    <mergeCell ref="D31:E31"/>
    <mergeCell ref="A8:E8"/>
    <mergeCell ref="C25:E25"/>
    <mergeCell ref="B4:C4"/>
    <mergeCell ref="D32:E32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3"/>
  <sheetViews>
    <sheetView zoomScale="75" zoomScaleNormal="75" zoomScalePageLayoutView="0" workbookViewId="0" topLeftCell="A1">
      <selection activeCell="E2" sqref="E2"/>
    </sheetView>
  </sheetViews>
  <sheetFormatPr defaultColWidth="9.00390625" defaultRowHeight="12.75"/>
  <cols>
    <col min="1" max="1" width="32.00390625" style="2" customWidth="1"/>
    <col min="2" max="5" width="14.75390625" style="2" customWidth="1"/>
    <col min="6" max="16384" width="9.125" style="2" customWidth="1"/>
  </cols>
  <sheetData>
    <row r="1" spans="1:5" ht="48" customHeight="1">
      <c r="A1" s="157" t="s">
        <v>70</v>
      </c>
      <c r="B1" s="158"/>
      <c r="C1" s="158"/>
      <c r="D1" s="158"/>
      <c r="E1" s="158"/>
    </row>
    <row r="2" spans="1:5" ht="27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27" customHeight="1">
      <c r="A3" s="160" t="s">
        <v>29</v>
      </c>
      <c r="B3" s="161"/>
      <c r="C3" s="162"/>
      <c r="D3" s="5" t="s">
        <v>21</v>
      </c>
      <c r="E3" s="9"/>
    </row>
    <row r="4" spans="1:5" ht="27" customHeight="1">
      <c r="A4" s="6" t="s">
        <v>63</v>
      </c>
      <c r="B4" s="39"/>
      <c r="C4" s="170" t="s">
        <v>20</v>
      </c>
      <c r="D4" s="170"/>
      <c r="E4" s="39"/>
    </row>
    <row r="5" spans="1:5" ht="4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5" ht="18" customHeight="1">
      <c r="A6" s="41" t="s">
        <v>0</v>
      </c>
      <c r="B6" s="30">
        <f>E2-SUM(B7:B20)</f>
        <v>10.090000000000003</v>
      </c>
      <c r="C6" s="31"/>
      <c r="D6" s="31"/>
      <c r="E6" s="31"/>
    </row>
    <row r="7" spans="1:5" ht="18" customHeight="1">
      <c r="A7" s="42" t="s">
        <v>30</v>
      </c>
      <c r="B7" s="36">
        <f>E2*0.02</f>
        <v>2</v>
      </c>
      <c r="C7" s="37"/>
      <c r="D7" s="37"/>
      <c r="E7" s="37"/>
    </row>
    <row r="8" spans="1:5" ht="18" customHeight="1">
      <c r="A8" s="42" t="str">
        <f>Сырьё!B5</f>
        <v>Диспергатор Opotan N4045</v>
      </c>
      <c r="B8" s="36">
        <f>E2*0.003</f>
        <v>0.3</v>
      </c>
      <c r="C8" s="37"/>
      <c r="D8" s="37"/>
      <c r="E8" s="37"/>
    </row>
    <row r="9" spans="1:5" ht="18" customHeight="1">
      <c r="A9" s="42" t="s">
        <v>52</v>
      </c>
      <c r="B9" s="36">
        <f>E2*0.0001</f>
        <v>0.01</v>
      </c>
      <c r="C9" s="37"/>
      <c r="D9" s="37"/>
      <c r="E9" s="37"/>
    </row>
    <row r="10" spans="1:5" ht="18" customHeight="1">
      <c r="A10" s="42" t="s">
        <v>49</v>
      </c>
      <c r="B10" s="36">
        <f>E2*0.01</f>
        <v>1</v>
      </c>
      <c r="C10" s="37"/>
      <c r="D10" s="37"/>
      <c r="E10" s="37"/>
    </row>
    <row r="11" spans="1:5" ht="18" customHeight="1">
      <c r="A11" s="43" t="s">
        <v>64</v>
      </c>
      <c r="B11" s="33">
        <f>E2*0.15</f>
        <v>15</v>
      </c>
      <c r="C11" s="34"/>
      <c r="D11" s="34"/>
      <c r="E11" s="34"/>
    </row>
    <row r="12" spans="1:5" ht="21" customHeight="1">
      <c r="A12" s="164" t="s">
        <v>65</v>
      </c>
      <c r="B12" s="165"/>
      <c r="C12" s="165"/>
      <c r="D12" s="165"/>
      <c r="E12" s="166"/>
    </row>
    <row r="13" spans="1:5" ht="18" customHeight="1">
      <c r="A13" s="40" t="str">
        <f>Сырьё!B13</f>
        <v>Мел M-5</v>
      </c>
      <c r="B13" s="3">
        <f>E2*0.6</f>
        <v>60</v>
      </c>
      <c r="C13" s="1"/>
      <c r="D13" s="1"/>
      <c r="E13" s="1"/>
    </row>
    <row r="14" spans="1:5" ht="21" customHeight="1">
      <c r="A14" s="164" t="s">
        <v>31</v>
      </c>
      <c r="B14" s="165"/>
      <c r="C14" s="165"/>
      <c r="D14" s="165"/>
      <c r="E14" s="166"/>
    </row>
    <row r="15" spans="1:5" ht="18" customHeight="1">
      <c r="A15" s="41" t="s">
        <v>1</v>
      </c>
      <c r="B15" s="30">
        <f>E2*0.02</f>
        <v>2</v>
      </c>
      <c r="C15" s="38"/>
      <c r="D15" s="38"/>
      <c r="E15" s="38"/>
    </row>
    <row r="16" spans="1:5" ht="18" customHeight="1">
      <c r="A16" s="42" t="str">
        <f>Сырьё!B6</f>
        <v>Пеногаситель Contrapen PR-194</v>
      </c>
      <c r="B16" s="36">
        <f>E2*0.001</f>
        <v>0.1</v>
      </c>
      <c r="C16" s="44"/>
      <c r="D16" s="44"/>
      <c r="E16" s="44"/>
    </row>
    <row r="17" spans="1:5" ht="18" customHeight="1">
      <c r="A17" s="42" t="s">
        <v>64</v>
      </c>
      <c r="B17" s="36">
        <f>E2*0.05</f>
        <v>5</v>
      </c>
      <c r="C17" s="44"/>
      <c r="D17" s="44"/>
      <c r="E17" s="44"/>
    </row>
    <row r="18" spans="1:5" ht="18" customHeight="1">
      <c r="A18" s="42" t="s">
        <v>69</v>
      </c>
      <c r="B18" s="36">
        <f>E2*0.04</f>
        <v>4</v>
      </c>
      <c r="C18" s="37"/>
      <c r="D18" s="37"/>
      <c r="E18" s="37"/>
    </row>
    <row r="19" spans="1:5" ht="18" customHeight="1">
      <c r="A19" s="42" t="str">
        <f>Сырьё!B7</f>
        <v>Консервант Acticide FI</v>
      </c>
      <c r="B19" s="36">
        <f>E2*0.002</f>
        <v>0.2</v>
      </c>
      <c r="C19" s="37"/>
      <c r="D19" s="37"/>
      <c r="E19" s="37"/>
    </row>
    <row r="20" spans="1:5" ht="18" customHeight="1">
      <c r="A20" s="43" t="str">
        <f>Сырьё!B17</f>
        <v>Загуститель Rheovis 112</v>
      </c>
      <c r="B20" s="33">
        <f>E2*0.003</f>
        <v>0.3</v>
      </c>
      <c r="C20" s="34"/>
      <c r="D20" s="34"/>
      <c r="E20" s="34"/>
    </row>
    <row r="21" spans="1:5" ht="36" customHeight="1">
      <c r="A21" s="167" t="s">
        <v>66</v>
      </c>
      <c r="B21" s="165"/>
      <c r="C21" s="165"/>
      <c r="D21" s="165"/>
      <c r="E21" s="166"/>
    </row>
    <row r="22" spans="1:5" ht="18" customHeight="1">
      <c r="A22" s="4" t="s">
        <v>11</v>
      </c>
      <c r="B22" s="3">
        <f>SUM(B6:B20)</f>
        <v>100</v>
      </c>
      <c r="C22" s="1"/>
      <c r="D22" s="1"/>
      <c r="E22" s="1"/>
    </row>
    <row r="23" spans="1:5" ht="18" customHeight="1">
      <c r="A23" s="12" t="s">
        <v>32</v>
      </c>
      <c r="B23" s="13">
        <f>(B7*0.1+B8*0.4+B10+(B11+B17)*0.0115+B13+B18*0.15+B20*0.3)*100/E2</f>
        <v>62.24</v>
      </c>
      <c r="C23" s="14"/>
      <c r="D23" s="14"/>
      <c r="E23" s="14"/>
    </row>
    <row r="24" spans="1:5" ht="30" customHeight="1">
      <c r="A24" s="148" t="s">
        <v>45</v>
      </c>
      <c r="B24" s="148"/>
      <c r="C24" s="148" t="s">
        <v>12</v>
      </c>
      <c r="D24" s="148"/>
      <c r="E24" s="148"/>
    </row>
    <row r="25" spans="1:10" s="16" customFormat="1" ht="30" customHeight="1">
      <c r="A25" s="163" t="s">
        <v>33</v>
      </c>
      <c r="B25" s="163"/>
      <c r="C25" s="163"/>
      <c r="D25" s="163"/>
      <c r="E25" s="163"/>
      <c r="F25" s="15"/>
      <c r="G25" s="15"/>
      <c r="H25" s="15"/>
      <c r="I25" s="15"/>
      <c r="J25" s="15"/>
    </row>
    <row r="26" spans="1:10" s="16" customFormat="1" ht="38.25" customHeight="1">
      <c r="A26" s="17" t="s">
        <v>13</v>
      </c>
      <c r="B26" s="159" t="s">
        <v>67</v>
      </c>
      <c r="C26" s="152"/>
      <c r="D26" s="151" t="s">
        <v>14</v>
      </c>
      <c r="E26" s="152"/>
      <c r="F26" s="18"/>
      <c r="G26" s="19"/>
      <c r="H26" s="19"/>
      <c r="I26" s="19"/>
      <c r="J26" s="19"/>
    </row>
    <row r="27" spans="1:10" s="16" customFormat="1" ht="18" customHeight="1">
      <c r="A27" s="45" t="s">
        <v>4</v>
      </c>
      <c r="B27" s="172" t="s">
        <v>34</v>
      </c>
      <c r="C27" s="154"/>
      <c r="D27" s="153" t="s">
        <v>2</v>
      </c>
      <c r="E27" s="154"/>
      <c r="F27" s="18"/>
      <c r="G27" s="19"/>
      <c r="H27" s="19"/>
      <c r="I27" s="19"/>
      <c r="J27" s="19"/>
    </row>
    <row r="28" spans="1:10" s="16" customFormat="1" ht="18" customHeight="1">
      <c r="A28" s="46" t="s">
        <v>35</v>
      </c>
      <c r="B28" s="173" t="s">
        <v>36</v>
      </c>
      <c r="C28" s="156"/>
      <c r="D28" s="155"/>
      <c r="E28" s="156"/>
      <c r="F28" s="18"/>
      <c r="G28" s="19"/>
      <c r="H28" s="19"/>
      <c r="I28" s="19"/>
      <c r="J28" s="19"/>
    </row>
    <row r="29" spans="1:10" s="16" customFormat="1" ht="18" customHeight="1">
      <c r="A29" s="46" t="s">
        <v>16</v>
      </c>
      <c r="B29" s="174" t="s">
        <v>37</v>
      </c>
      <c r="C29" s="175"/>
      <c r="D29" s="155" t="s">
        <v>3</v>
      </c>
      <c r="E29" s="156"/>
      <c r="F29" s="18"/>
      <c r="G29" s="19"/>
      <c r="H29" s="19"/>
      <c r="I29" s="19"/>
      <c r="J29" s="19"/>
    </row>
    <row r="30" spans="1:10" s="16" customFormat="1" ht="30" customHeight="1">
      <c r="A30" s="47" t="s">
        <v>38</v>
      </c>
      <c r="B30" s="174" t="s">
        <v>39</v>
      </c>
      <c r="C30" s="175"/>
      <c r="D30" s="155"/>
      <c r="E30" s="156"/>
      <c r="F30" s="18"/>
      <c r="G30" s="19"/>
      <c r="H30" s="19"/>
      <c r="I30" s="19"/>
      <c r="J30" s="19"/>
    </row>
    <row r="31" spans="1:10" s="16" customFormat="1" ht="18" customHeight="1">
      <c r="A31" s="46" t="s">
        <v>17</v>
      </c>
      <c r="B31" s="174" t="s">
        <v>40</v>
      </c>
      <c r="C31" s="175"/>
      <c r="D31" s="155"/>
      <c r="E31" s="156"/>
      <c r="F31" s="18"/>
      <c r="G31" s="19"/>
      <c r="H31" s="19"/>
      <c r="I31" s="19"/>
      <c r="J31" s="19"/>
    </row>
    <row r="32" spans="1:10" s="16" customFormat="1" ht="30" customHeight="1">
      <c r="A32" s="48" t="s">
        <v>41</v>
      </c>
      <c r="B32" s="176" t="s">
        <v>42</v>
      </c>
      <c r="C32" s="177"/>
      <c r="D32" s="149" t="s">
        <v>2</v>
      </c>
      <c r="E32" s="150"/>
      <c r="F32" s="18"/>
      <c r="G32" s="19"/>
      <c r="H32" s="19"/>
      <c r="I32" s="19"/>
      <c r="J32" s="19"/>
    </row>
    <row r="33" spans="1:6" s="16" customFormat="1" ht="24" customHeight="1">
      <c r="A33" s="171" t="s">
        <v>15</v>
      </c>
      <c r="B33" s="171"/>
      <c r="C33" s="22"/>
      <c r="D33" s="23" t="s">
        <v>19</v>
      </c>
      <c r="E33" s="24" t="s">
        <v>72</v>
      </c>
      <c r="F33" s="25"/>
    </row>
  </sheetData>
  <sheetProtection password="CE1E" sheet="1" objects="1" scenarios="1" selectLockedCells="1"/>
  <mergeCells count="25">
    <mergeCell ref="A33:B33"/>
    <mergeCell ref="B27:C27"/>
    <mergeCell ref="B28:C28"/>
    <mergeCell ref="B31:C31"/>
    <mergeCell ref="B32:C32"/>
    <mergeCell ref="B29:C29"/>
    <mergeCell ref="B30:C30"/>
    <mergeCell ref="A1:E1"/>
    <mergeCell ref="B26:C26"/>
    <mergeCell ref="A3:C3"/>
    <mergeCell ref="A25:E25"/>
    <mergeCell ref="A12:E12"/>
    <mergeCell ref="A14:E14"/>
    <mergeCell ref="A21:E21"/>
    <mergeCell ref="B2:C2"/>
    <mergeCell ref="C4:D4"/>
    <mergeCell ref="A24:B24"/>
    <mergeCell ref="C24:E24"/>
    <mergeCell ref="D32:E32"/>
    <mergeCell ref="D26:E26"/>
    <mergeCell ref="D27:E27"/>
    <mergeCell ref="D28:E28"/>
    <mergeCell ref="D31:E31"/>
    <mergeCell ref="D29:E29"/>
    <mergeCell ref="D30:E30"/>
  </mergeCells>
  <printOptions/>
  <pageMargins left="0.75" right="0.4" top="0.6" bottom="0.58" header="0.41" footer="0.39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4"/>
  </sheetPr>
  <dimension ref="A1:J34"/>
  <sheetViews>
    <sheetView showGridLines="0" zoomScale="75" zoomScaleNormal="75" zoomScalePageLayoutView="0" workbookViewId="0" topLeftCell="A1">
      <selection activeCell="I22" sqref="I22"/>
    </sheetView>
  </sheetViews>
  <sheetFormatPr defaultColWidth="9.00390625" defaultRowHeight="12.75"/>
  <cols>
    <col min="1" max="1" width="37.00390625" style="63" customWidth="1"/>
    <col min="2" max="2" width="12.875" style="63" customWidth="1"/>
    <col min="3" max="3" width="13.875" style="63" customWidth="1"/>
    <col min="4" max="4" width="13.625" style="63" customWidth="1"/>
    <col min="5" max="5" width="14.75390625" style="63" customWidth="1"/>
    <col min="6" max="16384" width="9.125" style="63" customWidth="1"/>
  </cols>
  <sheetData>
    <row r="1" spans="1:5" ht="39.75" customHeight="1">
      <c r="A1" s="218" t="s">
        <v>152</v>
      </c>
      <c r="B1" s="219"/>
      <c r="C1" s="219"/>
      <c r="D1" s="219"/>
      <c r="E1" s="219"/>
    </row>
    <row r="2" spans="1:5" ht="19.5" customHeight="1">
      <c r="A2" s="64" t="s">
        <v>28</v>
      </c>
      <c r="B2" s="251" t="s">
        <v>183</v>
      </c>
      <c r="C2" s="252"/>
      <c r="D2" s="65" t="s">
        <v>7</v>
      </c>
      <c r="E2" s="66">
        <v>2000</v>
      </c>
    </row>
    <row r="3" spans="1:5" ht="16.5" customHeight="1">
      <c r="A3" s="229" t="s">
        <v>29</v>
      </c>
      <c r="B3" s="230"/>
      <c r="C3" s="231"/>
      <c r="D3" s="64" t="s">
        <v>21</v>
      </c>
      <c r="E3" s="66"/>
    </row>
    <row r="4" spans="1:5" ht="18.75" customHeight="1">
      <c r="A4" s="103" t="s">
        <v>54</v>
      </c>
      <c r="B4" s="209" t="s">
        <v>55</v>
      </c>
      <c r="C4" s="209"/>
      <c r="D4" s="209" t="s">
        <v>20</v>
      </c>
      <c r="E4" s="209"/>
    </row>
    <row r="5" spans="1:5" ht="45" customHeight="1">
      <c r="A5" s="68" t="s">
        <v>8</v>
      </c>
      <c r="B5" s="68" t="s">
        <v>5</v>
      </c>
      <c r="C5" s="68" t="s">
        <v>9</v>
      </c>
      <c r="D5" s="68" t="s">
        <v>6</v>
      </c>
      <c r="E5" s="68" t="s">
        <v>10</v>
      </c>
    </row>
    <row r="6" spans="1:5" ht="16.5" customHeight="1">
      <c r="A6" s="69" t="s">
        <v>0</v>
      </c>
      <c r="B6" s="70">
        <f>E2-SUM(B7:B21)</f>
        <v>778.8</v>
      </c>
      <c r="C6" s="71"/>
      <c r="D6" s="71"/>
      <c r="E6" s="71"/>
    </row>
    <row r="7" spans="1:5" ht="16.5" customHeight="1">
      <c r="A7" s="129" t="s">
        <v>30</v>
      </c>
      <c r="B7" s="114">
        <f>E2*0.015</f>
        <v>30</v>
      </c>
      <c r="C7" s="115"/>
      <c r="D7" s="115"/>
      <c r="E7" s="115"/>
    </row>
    <row r="8" spans="1:5" ht="16.5" customHeight="1">
      <c r="A8" s="75" t="str">
        <f>Сырьё!B5</f>
        <v>Диспергатор Opotan N4045</v>
      </c>
      <c r="B8" s="76">
        <f>E2*0.0015</f>
        <v>3</v>
      </c>
      <c r="C8" s="77"/>
      <c r="D8" s="77"/>
      <c r="E8" s="77"/>
    </row>
    <row r="9" spans="1:5" ht="16.5" customHeight="1">
      <c r="A9" s="75" t="s">
        <v>52</v>
      </c>
      <c r="B9" s="76">
        <f>E2*0.0001</f>
        <v>0.2</v>
      </c>
      <c r="C9" s="77"/>
      <c r="D9" s="77"/>
      <c r="E9" s="77"/>
    </row>
    <row r="10" spans="1:5" ht="17.25" customHeight="1">
      <c r="A10" s="215" t="s">
        <v>90</v>
      </c>
      <c r="B10" s="216"/>
      <c r="C10" s="249"/>
      <c r="D10" s="249"/>
      <c r="E10" s="250"/>
    </row>
    <row r="11" spans="1:5" ht="17.25" customHeight="1">
      <c r="A11" s="75" t="s">
        <v>160</v>
      </c>
      <c r="B11" s="130">
        <f>E2*0.005</f>
        <v>10</v>
      </c>
      <c r="C11" s="133"/>
      <c r="D11" s="133"/>
      <c r="E11" s="133"/>
    </row>
    <row r="12" spans="1:5" ht="17.25" customHeight="1">
      <c r="A12" s="75" t="s">
        <v>171</v>
      </c>
      <c r="B12" s="131">
        <f>E2*0.0005</f>
        <v>1</v>
      </c>
      <c r="C12" s="132"/>
      <c r="D12" s="132"/>
      <c r="E12" s="132"/>
    </row>
    <row r="13" spans="1:5" ht="16.5" customHeight="1">
      <c r="A13" s="129" t="str">
        <f>Сырьё!B8</f>
        <v>Lomon  R996</v>
      </c>
      <c r="B13" s="114">
        <f>E2*0.01</f>
        <v>20</v>
      </c>
      <c r="C13" s="115"/>
      <c r="D13" s="115"/>
      <c r="E13" s="115"/>
    </row>
    <row r="14" spans="1:5" ht="16.5" customHeight="1">
      <c r="A14" s="75" t="str">
        <f>Сырьё!B9</f>
        <v>Omyacarb 2-UR</v>
      </c>
      <c r="B14" s="76">
        <f>E2*0.4</f>
        <v>800</v>
      </c>
      <c r="C14" s="77"/>
      <c r="D14" s="77"/>
      <c r="E14" s="77"/>
    </row>
    <row r="15" spans="1:5" ht="16.5" customHeight="1">
      <c r="A15" s="136" t="s">
        <v>184</v>
      </c>
      <c r="B15" s="76">
        <f>E2*0.0055</f>
        <v>11</v>
      </c>
      <c r="C15" s="126"/>
      <c r="D15" s="126"/>
      <c r="E15" s="126"/>
    </row>
    <row r="16" spans="1:5" ht="16.5" customHeight="1">
      <c r="A16" s="129" t="str">
        <f>Сырьё!B10</f>
        <v>Omyacarb 5UR</v>
      </c>
      <c r="B16" s="135">
        <f>E2*0.15</f>
        <v>300</v>
      </c>
      <c r="C16" s="74"/>
      <c r="D16" s="74"/>
      <c r="E16" s="74"/>
    </row>
    <row r="17" spans="1:5" ht="17.25" customHeight="1">
      <c r="A17" s="215" t="s">
        <v>89</v>
      </c>
      <c r="B17" s="216"/>
      <c r="C17" s="216"/>
      <c r="D17" s="216"/>
      <c r="E17" s="217"/>
    </row>
    <row r="18" spans="1:5" ht="16.5" customHeight="1">
      <c r="A18" s="134" t="str">
        <f>Сырьё!B2</f>
        <v>DL-430</v>
      </c>
      <c r="B18" s="70">
        <f>E2*0.02</f>
        <v>40</v>
      </c>
      <c r="C18" s="84"/>
      <c r="D18" s="84"/>
      <c r="E18" s="84"/>
    </row>
    <row r="19" spans="1:5" s="104" customFormat="1" ht="16.5" customHeight="1">
      <c r="A19" s="129" t="str">
        <f>'[3]Сырьё'!$B$9</f>
        <v>Консервант Acticide FI</v>
      </c>
      <c r="B19" s="76">
        <f>E2*0.002</f>
        <v>4</v>
      </c>
      <c r="C19" s="77"/>
      <c r="D19" s="77"/>
      <c r="E19" s="77"/>
    </row>
    <row r="20" spans="1:5" ht="15.75" customHeight="1">
      <c r="A20" s="75" t="s">
        <v>61</v>
      </c>
      <c r="B20" s="76">
        <f>E2*0.0005</f>
        <v>1</v>
      </c>
      <c r="C20" s="77"/>
      <c r="D20" s="77"/>
      <c r="E20" s="77"/>
    </row>
    <row r="21" spans="1:5" ht="16.5" customHeight="1">
      <c r="A21" s="72" t="s">
        <v>171</v>
      </c>
      <c r="B21" s="85">
        <f>E2*0.0005</f>
        <v>1</v>
      </c>
      <c r="C21" s="74"/>
      <c r="D21" s="74"/>
      <c r="E21" s="74"/>
    </row>
    <row r="22" spans="1:5" ht="19.5" customHeight="1">
      <c r="A22" s="226" t="s">
        <v>185</v>
      </c>
      <c r="B22" s="227"/>
      <c r="C22" s="227"/>
      <c r="D22" s="227"/>
      <c r="E22" s="228"/>
    </row>
    <row r="23" spans="1:5" ht="14.25" customHeight="1">
      <c r="A23" s="86" t="s">
        <v>11</v>
      </c>
      <c r="B23" s="87">
        <f>SUM(B6:B21)</f>
        <v>2000</v>
      </c>
      <c r="C23" s="88"/>
      <c r="D23" s="88"/>
      <c r="E23" s="88"/>
    </row>
    <row r="24" spans="1:5" ht="10.5" customHeight="1">
      <c r="A24" s="89" t="s">
        <v>32</v>
      </c>
      <c r="B24" s="90">
        <f>(B15+B7*0.1+B8*0.4+B9+B11+B18*0.5+B13+B14+B16+(B19+B21)*0.3)*100/E2</f>
        <v>58.345000000000006</v>
      </c>
      <c r="C24" s="91"/>
      <c r="D24" s="91"/>
      <c r="E24" s="91"/>
    </row>
    <row r="25" spans="1:5" ht="17.25" customHeight="1">
      <c r="A25" s="234" t="s">
        <v>45</v>
      </c>
      <c r="B25" s="234"/>
      <c r="C25" s="234" t="s">
        <v>12</v>
      </c>
      <c r="D25" s="234"/>
      <c r="E25" s="234"/>
    </row>
    <row r="26" spans="1:10" s="93" customFormat="1" ht="15" customHeight="1">
      <c r="A26" s="222" t="s">
        <v>33</v>
      </c>
      <c r="B26" s="222"/>
      <c r="C26" s="222"/>
      <c r="D26" s="222"/>
      <c r="E26" s="222"/>
      <c r="F26" s="92"/>
      <c r="G26" s="92"/>
      <c r="H26" s="92"/>
      <c r="I26" s="92"/>
      <c r="J26" s="92"/>
    </row>
    <row r="27" spans="1:10" s="93" customFormat="1" ht="39" customHeight="1">
      <c r="A27" s="94" t="s">
        <v>13</v>
      </c>
      <c r="B27" s="220" t="s">
        <v>47</v>
      </c>
      <c r="C27" s="221"/>
      <c r="D27" s="242" t="s">
        <v>14</v>
      </c>
      <c r="E27" s="221"/>
      <c r="F27" s="95"/>
      <c r="G27" s="96"/>
      <c r="H27" s="96"/>
      <c r="I27" s="96"/>
      <c r="J27" s="96"/>
    </row>
    <row r="28" spans="1:10" s="93" customFormat="1" ht="18" customHeight="1">
      <c r="A28" s="97" t="s">
        <v>4</v>
      </c>
      <c r="B28" s="211" t="s">
        <v>34</v>
      </c>
      <c r="C28" s="212"/>
      <c r="D28" s="241" t="s">
        <v>2</v>
      </c>
      <c r="E28" s="212"/>
      <c r="F28" s="95"/>
      <c r="G28" s="96"/>
      <c r="H28" s="96"/>
      <c r="I28" s="96"/>
      <c r="J28" s="96"/>
    </row>
    <row r="29" spans="1:10" s="93" customFormat="1" ht="18" customHeight="1">
      <c r="A29" s="97" t="s">
        <v>35</v>
      </c>
      <c r="B29" s="211" t="s">
        <v>36</v>
      </c>
      <c r="C29" s="212"/>
      <c r="D29" s="241"/>
      <c r="E29" s="212"/>
      <c r="F29" s="95"/>
      <c r="G29" s="96"/>
      <c r="H29" s="96"/>
      <c r="I29" s="96"/>
      <c r="J29" s="96"/>
    </row>
    <row r="30" spans="1:10" s="93" customFormat="1" ht="18" customHeight="1">
      <c r="A30" s="97" t="s">
        <v>16</v>
      </c>
      <c r="B30" s="213" t="s">
        <v>37</v>
      </c>
      <c r="C30" s="214"/>
      <c r="D30" s="241" t="s">
        <v>3</v>
      </c>
      <c r="E30" s="212"/>
      <c r="F30" s="95"/>
      <c r="G30" s="96"/>
      <c r="H30" s="96"/>
      <c r="I30" s="96"/>
      <c r="J30" s="96"/>
    </row>
    <row r="31" spans="1:10" s="93" customFormat="1" ht="30" customHeight="1">
      <c r="A31" s="98" t="s">
        <v>38</v>
      </c>
      <c r="B31" s="213" t="s">
        <v>81</v>
      </c>
      <c r="C31" s="214"/>
      <c r="D31" s="241"/>
      <c r="E31" s="212"/>
      <c r="F31" s="95"/>
      <c r="G31" s="96"/>
      <c r="H31" s="96"/>
      <c r="I31" s="96"/>
      <c r="J31" s="96"/>
    </row>
    <row r="32" spans="1:10" s="93" customFormat="1" ht="18" customHeight="1">
      <c r="A32" s="97" t="s">
        <v>17</v>
      </c>
      <c r="B32" s="213" t="s">
        <v>40</v>
      </c>
      <c r="C32" s="214"/>
      <c r="D32" s="241"/>
      <c r="E32" s="212"/>
      <c r="F32" s="95"/>
      <c r="G32" s="96"/>
      <c r="H32" s="96"/>
      <c r="I32" s="96"/>
      <c r="J32" s="96"/>
    </row>
    <row r="33" spans="1:10" s="93" customFormat="1" ht="30" customHeight="1">
      <c r="A33" s="98" t="s">
        <v>41</v>
      </c>
      <c r="B33" s="213" t="s">
        <v>42</v>
      </c>
      <c r="C33" s="214"/>
      <c r="D33" s="241" t="s">
        <v>2</v>
      </c>
      <c r="E33" s="212"/>
      <c r="F33" s="95"/>
      <c r="G33" s="96"/>
      <c r="H33" s="96"/>
      <c r="I33" s="96"/>
      <c r="J33" s="96"/>
    </row>
    <row r="34" spans="1:6" s="93" customFormat="1" ht="24" customHeight="1">
      <c r="A34" s="210" t="s">
        <v>15</v>
      </c>
      <c r="B34" s="210"/>
      <c r="C34" s="99"/>
      <c r="D34" s="100" t="s">
        <v>19</v>
      </c>
      <c r="E34" s="24" t="s">
        <v>161</v>
      </c>
      <c r="F34" s="102"/>
    </row>
  </sheetData>
  <sheetProtection selectLockedCells="1"/>
  <mergeCells count="26">
    <mergeCell ref="B2:C2"/>
    <mergeCell ref="B4:C4"/>
    <mergeCell ref="A34:B34"/>
    <mergeCell ref="B28:C28"/>
    <mergeCell ref="B29:C29"/>
    <mergeCell ref="B32:C32"/>
    <mergeCell ref="B33:C33"/>
    <mergeCell ref="B30:C30"/>
    <mergeCell ref="B31:C31"/>
    <mergeCell ref="A1:E1"/>
    <mergeCell ref="B27:C27"/>
    <mergeCell ref="A26:E26"/>
    <mergeCell ref="A10:E10"/>
    <mergeCell ref="A17:E17"/>
    <mergeCell ref="A22:E22"/>
    <mergeCell ref="A3:C3"/>
    <mergeCell ref="A25:B25"/>
    <mergeCell ref="C25:E25"/>
    <mergeCell ref="D4:E4"/>
    <mergeCell ref="D33:E33"/>
    <mergeCell ref="D27:E27"/>
    <mergeCell ref="D28:E28"/>
    <mergeCell ref="D29:E29"/>
    <mergeCell ref="D32:E32"/>
    <mergeCell ref="D30:E30"/>
    <mergeCell ref="D31:E31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4"/>
  </sheetPr>
  <dimension ref="A1:J35"/>
  <sheetViews>
    <sheetView showGridLines="0" tabSelected="1" zoomScale="75" zoomScaleNormal="75" zoomScalePageLayoutView="0" workbookViewId="0" topLeftCell="A2">
      <selection activeCell="A23" sqref="A23:E23"/>
    </sheetView>
  </sheetViews>
  <sheetFormatPr defaultColWidth="9.00390625" defaultRowHeight="12.75"/>
  <cols>
    <col min="1" max="1" width="37.00390625" style="63" customWidth="1"/>
    <col min="2" max="2" width="12.875" style="63" customWidth="1"/>
    <col min="3" max="3" width="13.875" style="63" customWidth="1"/>
    <col min="4" max="4" width="13.625" style="63" customWidth="1"/>
    <col min="5" max="5" width="14.75390625" style="63" customWidth="1"/>
    <col min="6" max="16384" width="9.125" style="63" customWidth="1"/>
  </cols>
  <sheetData>
    <row r="1" spans="1:5" ht="39.75" customHeight="1">
      <c r="A1" s="218" t="s">
        <v>191</v>
      </c>
      <c r="B1" s="219"/>
      <c r="C1" s="219"/>
      <c r="D1" s="219"/>
      <c r="E1" s="219"/>
    </row>
    <row r="2" spans="1:5" ht="19.5" customHeight="1">
      <c r="A2" s="64" t="s">
        <v>28</v>
      </c>
      <c r="B2" s="251"/>
      <c r="C2" s="252"/>
      <c r="D2" s="65" t="s">
        <v>7</v>
      </c>
      <c r="E2" s="66">
        <v>100</v>
      </c>
    </row>
    <row r="3" spans="1:5" ht="16.5" customHeight="1">
      <c r="A3" s="229" t="s">
        <v>29</v>
      </c>
      <c r="B3" s="230"/>
      <c r="C3" s="231"/>
      <c r="D3" s="64" t="s">
        <v>21</v>
      </c>
      <c r="E3" s="66"/>
    </row>
    <row r="4" spans="1:5" ht="18.75" customHeight="1">
      <c r="A4" s="103" t="s">
        <v>54</v>
      </c>
      <c r="B4" s="209" t="s">
        <v>55</v>
      </c>
      <c r="C4" s="209"/>
      <c r="D4" s="209" t="s">
        <v>20</v>
      </c>
      <c r="E4" s="209"/>
    </row>
    <row r="5" spans="1:5" ht="45" customHeight="1">
      <c r="A5" s="68" t="s">
        <v>8</v>
      </c>
      <c r="B5" s="68" t="s">
        <v>5</v>
      </c>
      <c r="C5" s="68" t="s">
        <v>9</v>
      </c>
      <c r="D5" s="68" t="s">
        <v>6</v>
      </c>
      <c r="E5" s="68" t="s">
        <v>10</v>
      </c>
    </row>
    <row r="6" spans="1:5" ht="16.5" customHeight="1">
      <c r="A6" s="69" t="s">
        <v>0</v>
      </c>
      <c r="B6" s="70" t="s">
        <v>207</v>
      </c>
      <c r="C6" s="71"/>
      <c r="D6" s="71"/>
      <c r="E6" s="71"/>
    </row>
    <row r="7" spans="1:5" ht="16.5" customHeight="1">
      <c r="A7" s="72" t="str">
        <f>Сырьё!B27</f>
        <v>Natrosol 250 HHBR</v>
      </c>
      <c r="B7" s="85" t="s">
        <v>200</v>
      </c>
      <c r="C7" s="74"/>
      <c r="D7" s="74"/>
      <c r="E7" s="105"/>
    </row>
    <row r="8" spans="1:5" ht="15.75" customHeight="1">
      <c r="A8" s="215" t="s">
        <v>210</v>
      </c>
      <c r="B8" s="216"/>
      <c r="C8" s="216"/>
      <c r="D8" s="216"/>
      <c r="E8" s="217"/>
    </row>
    <row r="9" spans="1:5" ht="16.5" customHeight="1">
      <c r="A9" s="69" t="s">
        <v>30</v>
      </c>
      <c r="B9" s="70" t="s">
        <v>201</v>
      </c>
      <c r="C9" s="71"/>
      <c r="D9" s="71"/>
      <c r="E9" s="71"/>
    </row>
    <row r="10" spans="1:5" ht="16.5" customHeight="1">
      <c r="A10" s="75" t="s">
        <v>193</v>
      </c>
      <c r="B10" s="76" t="s">
        <v>202</v>
      </c>
      <c r="C10" s="77"/>
      <c r="D10" s="77"/>
      <c r="E10" s="77"/>
    </row>
    <row r="11" spans="1:5" ht="16.5" customHeight="1" hidden="1">
      <c r="A11" s="75"/>
      <c r="B11" s="76"/>
      <c r="C11" s="77"/>
      <c r="D11" s="77"/>
      <c r="E11" s="77"/>
    </row>
    <row r="12" spans="1:5" ht="17.25" customHeight="1">
      <c r="A12" s="223" t="s">
        <v>211</v>
      </c>
      <c r="B12" s="224"/>
      <c r="C12" s="224"/>
      <c r="D12" s="224"/>
      <c r="E12" s="225"/>
    </row>
    <row r="13" spans="1:5" ht="17.25" customHeight="1">
      <c r="A13" s="75" t="s">
        <v>194</v>
      </c>
      <c r="B13" s="76" t="s">
        <v>203</v>
      </c>
      <c r="C13" s="137"/>
      <c r="D13" s="137"/>
      <c r="E13" s="137"/>
    </row>
    <row r="14" spans="1:5" ht="17.25" customHeight="1">
      <c r="A14" s="75" t="s">
        <v>160</v>
      </c>
      <c r="B14" s="85" t="s">
        <v>204</v>
      </c>
      <c r="C14" s="124"/>
      <c r="D14" s="124"/>
      <c r="E14" s="125"/>
    </row>
    <row r="15" spans="1:5" ht="16.5" customHeight="1">
      <c r="A15" s="69" t="s">
        <v>195</v>
      </c>
      <c r="B15" s="70" t="s">
        <v>201</v>
      </c>
      <c r="C15" s="71"/>
      <c r="D15" s="71"/>
      <c r="E15" s="71"/>
    </row>
    <row r="16" spans="1:5" ht="16.5" customHeight="1">
      <c r="A16" s="75" t="s">
        <v>196</v>
      </c>
      <c r="B16" s="76" t="s">
        <v>205</v>
      </c>
      <c r="C16" s="77"/>
      <c r="D16" s="77"/>
      <c r="E16" s="77"/>
    </row>
    <row r="17" spans="1:5" ht="16.5" customHeight="1">
      <c r="A17" s="75" t="s">
        <v>197</v>
      </c>
      <c r="B17" s="85" t="s">
        <v>206</v>
      </c>
      <c r="C17" s="74"/>
      <c r="D17" s="74"/>
      <c r="E17" s="74"/>
    </row>
    <row r="18" spans="1:5" ht="17.25" customHeight="1">
      <c r="A18" s="215" t="s">
        <v>212</v>
      </c>
      <c r="B18" s="216"/>
      <c r="C18" s="216"/>
      <c r="D18" s="216"/>
      <c r="E18" s="217"/>
    </row>
    <row r="19" spans="1:5" ht="16.5" customHeight="1">
      <c r="A19" s="106" t="s">
        <v>192</v>
      </c>
      <c r="B19" s="70" t="s">
        <v>209</v>
      </c>
      <c r="C19" s="84"/>
      <c r="D19" s="84"/>
      <c r="E19" s="84"/>
    </row>
    <row r="20" spans="1:5" s="104" customFormat="1" ht="16.5" customHeight="1">
      <c r="A20" s="75" t="s">
        <v>198</v>
      </c>
      <c r="B20" s="76" t="s">
        <v>208</v>
      </c>
      <c r="C20" s="77"/>
      <c r="D20" s="77"/>
      <c r="E20" s="77"/>
    </row>
    <row r="21" spans="1:5" ht="15.75" customHeight="1">
      <c r="A21" s="75" t="s">
        <v>199</v>
      </c>
      <c r="B21" s="76" t="s">
        <v>203</v>
      </c>
      <c r="C21" s="77"/>
      <c r="D21" s="77"/>
      <c r="E21" s="77"/>
    </row>
    <row r="22" spans="1:5" ht="16.5" customHeight="1">
      <c r="A22" s="72" t="s">
        <v>194</v>
      </c>
      <c r="B22" s="85" t="s">
        <v>203</v>
      </c>
      <c r="C22" s="74"/>
      <c r="D22" s="74"/>
      <c r="E22" s="74"/>
    </row>
    <row r="23" spans="1:5" ht="24.75" customHeight="1">
      <c r="A23" s="253" t="s">
        <v>213</v>
      </c>
      <c r="B23" s="254"/>
      <c r="C23" s="254"/>
      <c r="D23" s="254"/>
      <c r="E23" s="255"/>
    </row>
    <row r="24" spans="1:5" ht="14.25" customHeight="1">
      <c r="A24" s="86" t="s">
        <v>11</v>
      </c>
      <c r="B24" s="87">
        <v>100</v>
      </c>
      <c r="C24" s="88"/>
      <c r="D24" s="88"/>
      <c r="E24" s="88"/>
    </row>
    <row r="25" spans="1:5" ht="10.5" customHeight="1">
      <c r="A25" s="89"/>
      <c r="B25" s="90"/>
      <c r="C25" s="91"/>
      <c r="D25" s="91"/>
      <c r="E25" s="91"/>
    </row>
    <row r="26" spans="1:5" ht="17.25" customHeight="1">
      <c r="A26" s="234" t="s">
        <v>45</v>
      </c>
      <c r="B26" s="234"/>
      <c r="C26" s="234" t="s">
        <v>12</v>
      </c>
      <c r="D26" s="234"/>
      <c r="E26" s="234"/>
    </row>
    <row r="27" spans="1:10" s="93" customFormat="1" ht="15" customHeight="1">
      <c r="A27" s="222" t="s">
        <v>33</v>
      </c>
      <c r="B27" s="222"/>
      <c r="C27" s="222"/>
      <c r="D27" s="222"/>
      <c r="E27" s="222"/>
      <c r="F27" s="92"/>
      <c r="G27" s="92"/>
      <c r="H27" s="92"/>
      <c r="I27" s="92"/>
      <c r="J27" s="92"/>
    </row>
    <row r="28" spans="1:10" s="93" customFormat="1" ht="39" customHeight="1">
      <c r="A28" s="94" t="s">
        <v>13</v>
      </c>
      <c r="B28" s="220"/>
      <c r="C28" s="221"/>
      <c r="D28" s="242" t="s">
        <v>14</v>
      </c>
      <c r="E28" s="221"/>
      <c r="F28" s="95"/>
      <c r="G28" s="96"/>
      <c r="H28" s="96"/>
      <c r="I28" s="96"/>
      <c r="J28" s="96"/>
    </row>
    <row r="29" spans="1:10" s="93" customFormat="1" ht="18" customHeight="1">
      <c r="A29" s="97" t="s">
        <v>4</v>
      </c>
      <c r="B29" s="211" t="s">
        <v>34</v>
      </c>
      <c r="C29" s="212"/>
      <c r="D29" s="241" t="s">
        <v>2</v>
      </c>
      <c r="E29" s="212"/>
      <c r="F29" s="95"/>
      <c r="G29" s="96"/>
      <c r="H29" s="96"/>
      <c r="I29" s="96"/>
      <c r="J29" s="96"/>
    </row>
    <row r="30" spans="1:10" s="93" customFormat="1" ht="18" customHeight="1">
      <c r="A30" s="97" t="s">
        <v>35</v>
      </c>
      <c r="B30" s="211" t="s">
        <v>36</v>
      </c>
      <c r="C30" s="212"/>
      <c r="D30" s="241"/>
      <c r="E30" s="212"/>
      <c r="F30" s="95"/>
      <c r="G30" s="96"/>
      <c r="H30" s="96"/>
      <c r="I30" s="96"/>
      <c r="J30" s="96"/>
    </row>
    <row r="31" spans="1:10" s="93" customFormat="1" ht="18" customHeight="1">
      <c r="A31" s="97" t="s">
        <v>16</v>
      </c>
      <c r="B31" s="213" t="s">
        <v>37</v>
      </c>
      <c r="C31" s="214"/>
      <c r="D31" s="241" t="s">
        <v>3</v>
      </c>
      <c r="E31" s="212"/>
      <c r="F31" s="95"/>
      <c r="G31" s="96"/>
      <c r="H31" s="96"/>
      <c r="I31" s="96"/>
      <c r="J31" s="96"/>
    </row>
    <row r="32" spans="1:10" s="93" customFormat="1" ht="30" customHeight="1">
      <c r="A32" s="98" t="s">
        <v>38</v>
      </c>
      <c r="B32" s="213" t="s">
        <v>81</v>
      </c>
      <c r="C32" s="214"/>
      <c r="D32" s="241"/>
      <c r="E32" s="212"/>
      <c r="F32" s="95"/>
      <c r="G32" s="96"/>
      <c r="H32" s="96"/>
      <c r="I32" s="96"/>
      <c r="J32" s="96"/>
    </row>
    <row r="33" spans="1:10" s="93" customFormat="1" ht="18" customHeight="1">
      <c r="A33" s="97" t="s">
        <v>17</v>
      </c>
      <c r="B33" s="213" t="s">
        <v>40</v>
      </c>
      <c r="C33" s="214"/>
      <c r="D33" s="241"/>
      <c r="E33" s="212"/>
      <c r="F33" s="95"/>
      <c r="G33" s="96"/>
      <c r="H33" s="96"/>
      <c r="I33" s="96"/>
      <c r="J33" s="96"/>
    </row>
    <row r="34" spans="1:10" s="93" customFormat="1" ht="30" customHeight="1">
      <c r="A34" s="98" t="s">
        <v>41</v>
      </c>
      <c r="B34" s="213" t="s">
        <v>42</v>
      </c>
      <c r="C34" s="214"/>
      <c r="D34" s="241" t="s">
        <v>2</v>
      </c>
      <c r="E34" s="212"/>
      <c r="F34" s="95"/>
      <c r="G34" s="96"/>
      <c r="H34" s="96"/>
      <c r="I34" s="96"/>
      <c r="J34" s="96"/>
    </row>
    <row r="35" spans="1:6" s="93" customFormat="1" ht="24" customHeight="1">
      <c r="A35" s="210" t="s">
        <v>15</v>
      </c>
      <c r="B35" s="210"/>
      <c r="C35" s="99"/>
      <c r="D35" s="100"/>
      <c r="E35" s="24"/>
      <c r="F35" s="102"/>
    </row>
  </sheetData>
  <sheetProtection selectLockedCells="1"/>
  <mergeCells count="27">
    <mergeCell ref="D34:E34"/>
    <mergeCell ref="D28:E28"/>
    <mergeCell ref="D29:E29"/>
    <mergeCell ref="D30:E30"/>
    <mergeCell ref="D33:E33"/>
    <mergeCell ref="D31:E31"/>
    <mergeCell ref="D32:E32"/>
    <mergeCell ref="A1:E1"/>
    <mergeCell ref="B28:C28"/>
    <mergeCell ref="A27:E27"/>
    <mergeCell ref="A12:E12"/>
    <mergeCell ref="A18:E18"/>
    <mergeCell ref="A23:E23"/>
    <mergeCell ref="A3:C3"/>
    <mergeCell ref="A26:B26"/>
    <mergeCell ref="C26:E26"/>
    <mergeCell ref="D4:E4"/>
    <mergeCell ref="B2:C2"/>
    <mergeCell ref="B4:C4"/>
    <mergeCell ref="A35:B35"/>
    <mergeCell ref="B29:C29"/>
    <mergeCell ref="B30:C30"/>
    <mergeCell ref="B33:C33"/>
    <mergeCell ref="B34:C34"/>
    <mergeCell ref="B31:C31"/>
    <mergeCell ref="B32:C32"/>
    <mergeCell ref="A8:E8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1:J35"/>
  <sheetViews>
    <sheetView showGridLines="0" zoomScale="75" zoomScaleNormal="75" zoomScalePageLayoutView="0" workbookViewId="0" topLeftCell="A1">
      <selection activeCell="A6" sqref="A6"/>
    </sheetView>
  </sheetViews>
  <sheetFormatPr defaultColWidth="9.00390625" defaultRowHeight="12.75"/>
  <cols>
    <col min="1" max="1" width="33.875" style="63" customWidth="1"/>
    <col min="2" max="2" width="11.25390625" style="63" customWidth="1"/>
    <col min="3" max="3" width="13.625" style="63" customWidth="1"/>
    <col min="4" max="5" width="14.75390625" style="63" customWidth="1"/>
    <col min="6" max="16384" width="9.125" style="63" customWidth="1"/>
  </cols>
  <sheetData>
    <row r="1" spans="1:5" ht="36" customHeight="1">
      <c r="A1" s="218" t="s">
        <v>177</v>
      </c>
      <c r="B1" s="219"/>
      <c r="C1" s="219"/>
      <c r="D1" s="219"/>
      <c r="E1" s="219"/>
    </row>
    <row r="2" spans="1:5" ht="18.75" customHeight="1">
      <c r="A2" s="64" t="s">
        <v>28</v>
      </c>
      <c r="B2" s="251">
        <f ca="1">TODAY()</f>
        <v>43794</v>
      </c>
      <c r="C2" s="252"/>
      <c r="D2" s="65" t="s">
        <v>7</v>
      </c>
      <c r="E2" s="66">
        <v>100</v>
      </c>
    </row>
    <row r="3" spans="1:5" ht="24" customHeight="1">
      <c r="A3" s="229" t="s">
        <v>29</v>
      </c>
      <c r="B3" s="230"/>
      <c r="C3" s="231"/>
      <c r="D3" s="64" t="s">
        <v>21</v>
      </c>
      <c r="E3" s="66"/>
    </row>
    <row r="4" spans="1:5" ht="24" customHeight="1">
      <c r="A4" s="103" t="s">
        <v>54</v>
      </c>
      <c r="B4" s="209" t="s">
        <v>55</v>
      </c>
      <c r="C4" s="209"/>
      <c r="D4" s="209" t="s">
        <v>20</v>
      </c>
      <c r="E4" s="209"/>
    </row>
    <row r="5" spans="1:5" ht="45.75" customHeight="1">
      <c r="A5" s="68" t="s">
        <v>8</v>
      </c>
      <c r="B5" s="68" t="s">
        <v>5</v>
      </c>
      <c r="C5" s="68" t="s">
        <v>9</v>
      </c>
      <c r="D5" s="68" t="s">
        <v>6</v>
      </c>
      <c r="E5" s="68" t="s">
        <v>10</v>
      </c>
    </row>
    <row r="6" spans="1:5" ht="16.5" customHeight="1">
      <c r="A6" s="69" t="s">
        <v>0</v>
      </c>
      <c r="B6" s="70">
        <f>E2*0.2519111</f>
        <v>25.19111</v>
      </c>
      <c r="C6" s="71"/>
      <c r="D6" s="71"/>
      <c r="E6" s="71"/>
    </row>
    <row r="7" spans="1:5" ht="4.5" customHeight="1">
      <c r="A7" s="215"/>
      <c r="B7" s="216"/>
      <c r="C7" s="216"/>
      <c r="D7" s="216"/>
      <c r="E7" s="217"/>
    </row>
    <row r="8" spans="1:5" ht="16.5" customHeight="1">
      <c r="A8" s="69" t="s">
        <v>30</v>
      </c>
      <c r="B8" s="70">
        <f>E2*0.015</f>
        <v>1.5</v>
      </c>
      <c r="C8" s="71"/>
      <c r="D8" s="71"/>
      <c r="E8" s="71"/>
    </row>
    <row r="9" spans="1:5" ht="16.5" customHeight="1">
      <c r="A9" s="75" t="str">
        <f>Сырьё!B5</f>
        <v>Диспергатор Opotan N4045</v>
      </c>
      <c r="B9" s="76">
        <f>E2*0.0015</f>
        <v>0.15</v>
      </c>
      <c r="C9" s="77"/>
      <c r="D9" s="77"/>
      <c r="E9" s="77"/>
    </row>
    <row r="10" spans="1:5" ht="16.5" customHeight="1">
      <c r="A10" s="75" t="s">
        <v>52</v>
      </c>
      <c r="B10" s="76">
        <f>E2*0.0001</f>
        <v>0.01</v>
      </c>
      <c r="C10" s="77"/>
      <c r="D10" s="77"/>
      <c r="E10" s="77"/>
    </row>
    <row r="11" spans="1:5" ht="15.75" customHeight="1">
      <c r="A11" s="223" t="s">
        <v>86</v>
      </c>
      <c r="B11" s="224"/>
      <c r="C11" s="224"/>
      <c r="D11" s="224"/>
      <c r="E11" s="225"/>
    </row>
    <row r="12" spans="1:5" ht="15.75" customHeight="1">
      <c r="A12" s="75" t="s">
        <v>160</v>
      </c>
      <c r="B12" s="85">
        <f>E2*0.005</f>
        <v>0.5</v>
      </c>
      <c r="C12" s="124"/>
      <c r="D12" s="124"/>
      <c r="E12" s="125"/>
    </row>
    <row r="13" spans="1:5" ht="16.5" customHeight="1">
      <c r="A13" s="69" t="s">
        <v>168</v>
      </c>
      <c r="B13" s="70">
        <f>E2*0.015</f>
        <v>1.5</v>
      </c>
      <c r="C13" s="71"/>
      <c r="D13" s="71"/>
      <c r="E13" s="71"/>
    </row>
    <row r="14" spans="1:5" ht="16.5" customHeight="1">
      <c r="A14" s="75" t="str">
        <f>Сырьё!B9</f>
        <v>Omyacarb 2-UR</v>
      </c>
      <c r="B14" s="76">
        <f>E2*0.4122</f>
        <v>41.22</v>
      </c>
      <c r="C14" s="77"/>
      <c r="D14" s="77"/>
      <c r="E14" s="77"/>
    </row>
    <row r="15" spans="1:5" ht="16.5" customHeight="1">
      <c r="A15" s="72" t="str">
        <f>Сырьё!B27</f>
        <v>Natrosol 250 HHBR</v>
      </c>
      <c r="B15" s="85">
        <f>E2*0.005</f>
        <v>0.5</v>
      </c>
      <c r="C15" s="126"/>
      <c r="D15" s="126"/>
      <c r="E15" s="126"/>
    </row>
    <row r="16" spans="1:5" ht="16.5" customHeight="1">
      <c r="A16" s="75" t="str">
        <f>Сырьё!B12</f>
        <v>Omyacarb 5UR</v>
      </c>
      <c r="B16" s="85">
        <f>E2*0.1374</f>
        <v>13.74</v>
      </c>
      <c r="C16" s="74"/>
      <c r="D16" s="74"/>
      <c r="E16" s="74"/>
    </row>
    <row r="17" spans="1:5" ht="16.5" customHeight="1">
      <c r="A17" s="69" t="s">
        <v>0</v>
      </c>
      <c r="B17" s="70">
        <f>E2-SUM(B6:B10,B12:B16,B19:B22)</f>
        <v>11.338890000000006</v>
      </c>
      <c r="C17" s="127"/>
      <c r="D17" s="127"/>
      <c r="E17" s="128"/>
    </row>
    <row r="18" spans="1:5" ht="17.25" customHeight="1">
      <c r="A18" s="215" t="s">
        <v>89</v>
      </c>
      <c r="B18" s="216"/>
      <c r="C18" s="216"/>
      <c r="D18" s="216"/>
      <c r="E18" s="217"/>
    </row>
    <row r="19" spans="1:5" ht="16.5" customHeight="1">
      <c r="A19" s="106" t="str">
        <f>Сырьё!B2</f>
        <v>DL-430</v>
      </c>
      <c r="B19" s="70">
        <f>E2*0.04</f>
        <v>4</v>
      </c>
      <c r="C19" s="84"/>
      <c r="D19" s="84"/>
      <c r="E19" s="84"/>
    </row>
    <row r="20" spans="1:5" ht="16.5" customHeight="1">
      <c r="A20" s="75" t="str">
        <f>'[3]Сырьё'!$B$9</f>
        <v>Консервант Acticide FI</v>
      </c>
      <c r="B20" s="76">
        <f>E2*0.002</f>
        <v>0.2</v>
      </c>
      <c r="C20" s="77"/>
      <c r="D20" s="77"/>
      <c r="E20" s="77"/>
    </row>
    <row r="21" spans="1:5" ht="15.75" customHeight="1">
      <c r="A21" s="75" t="s">
        <v>61</v>
      </c>
      <c r="B21" s="76">
        <f>E2*0.0005</f>
        <v>0.05</v>
      </c>
      <c r="C21" s="77"/>
      <c r="D21" s="77"/>
      <c r="E21" s="77"/>
    </row>
    <row r="22" spans="1:5" s="104" customFormat="1" ht="16.5" customHeight="1">
      <c r="A22" s="75" t="s">
        <v>172</v>
      </c>
      <c r="B22" s="76">
        <f>E2*0.001</f>
        <v>0.1</v>
      </c>
      <c r="C22" s="77"/>
      <c r="D22" s="77"/>
      <c r="E22" s="77"/>
    </row>
    <row r="23" spans="1:5" ht="4.5" customHeight="1">
      <c r="A23" s="226"/>
      <c r="B23" s="227"/>
      <c r="C23" s="227"/>
      <c r="D23" s="227"/>
      <c r="E23" s="228"/>
    </row>
    <row r="24" spans="1:5" ht="16.5" customHeight="1">
      <c r="A24" s="86" t="s">
        <v>11</v>
      </c>
      <c r="B24" s="87">
        <f>SUM(B6:B22)</f>
        <v>100</v>
      </c>
      <c r="C24" s="88"/>
      <c r="D24" s="88"/>
      <c r="E24" s="88"/>
    </row>
    <row r="25" spans="1:5" ht="13.5" customHeight="1">
      <c r="A25" s="89" t="s">
        <v>32</v>
      </c>
      <c r="B25" s="90">
        <f>(B15+B8*0.1+B9*0.4+B10+B13+B14+B16+B12*0.25+B19*0.5+(B22)*0.3)*100/E2</f>
        <v>59.335</v>
      </c>
      <c r="C25" s="91"/>
      <c r="D25" s="91"/>
      <c r="E25" s="91"/>
    </row>
    <row r="26" spans="1:5" ht="21.75" customHeight="1">
      <c r="A26" s="234" t="s">
        <v>45</v>
      </c>
      <c r="B26" s="234"/>
      <c r="C26" s="234" t="s">
        <v>12</v>
      </c>
      <c r="D26" s="234"/>
      <c r="E26" s="234"/>
    </row>
    <row r="27" spans="1:10" s="93" customFormat="1" ht="11.25" customHeight="1">
      <c r="A27" s="222" t="s">
        <v>33</v>
      </c>
      <c r="B27" s="222"/>
      <c r="C27" s="222"/>
      <c r="D27" s="222"/>
      <c r="E27" s="222"/>
      <c r="F27" s="92"/>
      <c r="G27" s="92"/>
      <c r="H27" s="92"/>
      <c r="I27" s="92"/>
      <c r="J27" s="92"/>
    </row>
    <row r="28" spans="1:10" s="93" customFormat="1" ht="42" customHeight="1">
      <c r="A28" s="94" t="s">
        <v>13</v>
      </c>
      <c r="B28" s="220" t="s">
        <v>47</v>
      </c>
      <c r="C28" s="221"/>
      <c r="D28" s="242" t="s">
        <v>14</v>
      </c>
      <c r="E28" s="221"/>
      <c r="F28" s="95"/>
      <c r="G28" s="96"/>
      <c r="H28" s="96"/>
      <c r="I28" s="96"/>
      <c r="J28" s="96"/>
    </row>
    <row r="29" spans="1:10" s="93" customFormat="1" ht="18.75" customHeight="1">
      <c r="A29" s="97" t="s">
        <v>4</v>
      </c>
      <c r="B29" s="211" t="s">
        <v>34</v>
      </c>
      <c r="C29" s="212"/>
      <c r="D29" s="241" t="s">
        <v>2</v>
      </c>
      <c r="E29" s="212"/>
      <c r="F29" s="95"/>
      <c r="G29" s="96"/>
      <c r="H29" s="96"/>
      <c r="I29" s="96"/>
      <c r="J29" s="96"/>
    </row>
    <row r="30" spans="1:10" s="93" customFormat="1" ht="18" customHeight="1">
      <c r="A30" s="97" t="s">
        <v>35</v>
      </c>
      <c r="B30" s="211" t="s">
        <v>36</v>
      </c>
      <c r="C30" s="212"/>
      <c r="D30" s="241"/>
      <c r="E30" s="212"/>
      <c r="F30" s="95"/>
      <c r="G30" s="96"/>
      <c r="H30" s="96"/>
      <c r="I30" s="96"/>
      <c r="J30" s="96"/>
    </row>
    <row r="31" spans="1:10" s="93" customFormat="1" ht="18" customHeight="1">
      <c r="A31" s="97" t="s">
        <v>16</v>
      </c>
      <c r="B31" s="213" t="s">
        <v>37</v>
      </c>
      <c r="C31" s="214"/>
      <c r="D31" s="241" t="s">
        <v>3</v>
      </c>
      <c r="E31" s="212"/>
      <c r="F31" s="95"/>
      <c r="G31" s="96"/>
      <c r="H31" s="96"/>
      <c r="I31" s="96"/>
      <c r="J31" s="96"/>
    </row>
    <row r="32" spans="1:10" s="93" customFormat="1" ht="30" customHeight="1">
      <c r="A32" s="98" t="s">
        <v>38</v>
      </c>
      <c r="B32" s="213" t="s">
        <v>81</v>
      </c>
      <c r="C32" s="214"/>
      <c r="D32" s="241"/>
      <c r="E32" s="212"/>
      <c r="F32" s="95"/>
      <c r="G32" s="96"/>
      <c r="H32" s="96"/>
      <c r="I32" s="96"/>
      <c r="J32" s="96"/>
    </row>
    <row r="33" spans="1:10" s="93" customFormat="1" ht="18" customHeight="1">
      <c r="A33" s="97" t="s">
        <v>17</v>
      </c>
      <c r="B33" s="213" t="s">
        <v>40</v>
      </c>
      <c r="C33" s="214"/>
      <c r="D33" s="241"/>
      <c r="E33" s="212"/>
      <c r="F33" s="95"/>
      <c r="G33" s="96"/>
      <c r="H33" s="96"/>
      <c r="I33" s="96"/>
      <c r="J33" s="96"/>
    </row>
    <row r="34" spans="1:10" s="93" customFormat="1" ht="30" customHeight="1">
      <c r="A34" s="98" t="s">
        <v>41</v>
      </c>
      <c r="B34" s="213" t="s">
        <v>42</v>
      </c>
      <c r="C34" s="214"/>
      <c r="D34" s="241" t="s">
        <v>2</v>
      </c>
      <c r="E34" s="212"/>
      <c r="F34" s="95"/>
      <c r="G34" s="96"/>
      <c r="H34" s="96"/>
      <c r="I34" s="96"/>
      <c r="J34" s="96"/>
    </row>
    <row r="35" spans="1:6" s="93" customFormat="1" ht="14.25" customHeight="1">
      <c r="A35" s="210" t="s">
        <v>15</v>
      </c>
      <c r="B35" s="210"/>
      <c r="C35" s="99"/>
      <c r="D35" s="100" t="s">
        <v>19</v>
      </c>
      <c r="E35" s="24" t="s">
        <v>161</v>
      </c>
      <c r="F35" s="102"/>
    </row>
  </sheetData>
  <sheetProtection selectLockedCells="1"/>
  <mergeCells count="27">
    <mergeCell ref="B4:C4"/>
    <mergeCell ref="C26:E26"/>
    <mergeCell ref="D29:E29"/>
    <mergeCell ref="D30:E30"/>
    <mergeCell ref="A26:B26"/>
    <mergeCell ref="A7:E7"/>
    <mergeCell ref="D4:E4"/>
    <mergeCell ref="D32:E32"/>
    <mergeCell ref="A1:E1"/>
    <mergeCell ref="B28:C28"/>
    <mergeCell ref="A27:E27"/>
    <mergeCell ref="A11:E11"/>
    <mergeCell ref="A18:E18"/>
    <mergeCell ref="A23:E23"/>
    <mergeCell ref="A3:C3"/>
    <mergeCell ref="B2:C2"/>
    <mergeCell ref="D28:E28"/>
    <mergeCell ref="D34:E34"/>
    <mergeCell ref="A35:B35"/>
    <mergeCell ref="B29:C29"/>
    <mergeCell ref="B30:C30"/>
    <mergeCell ref="B33:C33"/>
    <mergeCell ref="B34:C34"/>
    <mergeCell ref="B31:C31"/>
    <mergeCell ref="B32:C32"/>
    <mergeCell ref="D33:E33"/>
    <mergeCell ref="D31:E31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="75" zoomScaleNormal="75" zoomScalePageLayoutView="0" workbookViewId="0" topLeftCell="A1">
      <selection activeCell="A11" sqref="A11:E11"/>
    </sheetView>
  </sheetViews>
  <sheetFormatPr defaultColWidth="9.00390625" defaultRowHeight="12.75"/>
  <cols>
    <col min="1" max="1" width="33.875" style="2" customWidth="1"/>
    <col min="2" max="2" width="11.25390625" style="2" customWidth="1"/>
    <col min="3" max="3" width="13.625" style="2" customWidth="1"/>
    <col min="4" max="5" width="14.75390625" style="2" customWidth="1"/>
    <col min="6" max="16384" width="9.125" style="2" customWidth="1"/>
  </cols>
  <sheetData>
    <row r="1" spans="1:5" ht="36" customHeight="1">
      <c r="A1" s="157" t="s">
        <v>143</v>
      </c>
      <c r="B1" s="180"/>
      <c r="C1" s="180"/>
      <c r="D1" s="180"/>
      <c r="E1" s="180"/>
    </row>
    <row r="2" spans="1:5" ht="18.75" customHeight="1">
      <c r="A2" s="5" t="s">
        <v>28</v>
      </c>
      <c r="B2" s="168" t="s">
        <v>190</v>
      </c>
      <c r="C2" s="169"/>
      <c r="D2" s="7" t="s">
        <v>7</v>
      </c>
      <c r="E2" s="9">
        <v>100</v>
      </c>
    </row>
    <row r="3" spans="1:5" ht="24" customHeight="1">
      <c r="A3" s="160" t="s">
        <v>29</v>
      </c>
      <c r="B3" s="161"/>
      <c r="C3" s="162"/>
      <c r="D3" s="5" t="s">
        <v>21</v>
      </c>
      <c r="E3" s="9"/>
    </row>
    <row r="4" spans="1:5" ht="24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45.7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5" ht="16.5" customHeight="1">
      <c r="A6" s="29" t="s">
        <v>0</v>
      </c>
      <c r="B6" s="30">
        <f>E2-SUM(B7:B22)</f>
        <v>36</v>
      </c>
      <c r="C6" s="31"/>
      <c r="D6" s="31"/>
      <c r="E6" s="31"/>
    </row>
    <row r="7" spans="1:5" ht="16.5" customHeight="1">
      <c r="A7" s="72" t="str">
        <f>Сырьё!B27</f>
        <v>Natrosol 250 HHBR</v>
      </c>
      <c r="B7" s="33">
        <f>IF(A7="Walocel XM 6000 PV",E2*0.0046,IF(A7="Walocel XM 20000 PV",E2*0.0036,E2*0.0035))</f>
        <v>0.35000000000000003</v>
      </c>
      <c r="C7" s="34"/>
      <c r="D7" s="34"/>
      <c r="E7" s="34"/>
    </row>
    <row r="8" spans="1:5" ht="21" customHeight="1">
      <c r="A8" s="184" t="s">
        <v>90</v>
      </c>
      <c r="B8" s="185"/>
      <c r="C8" s="185"/>
      <c r="D8" s="185"/>
      <c r="E8" s="186"/>
    </row>
    <row r="9" spans="1:5" ht="16.5" customHeight="1">
      <c r="A9" s="29" t="s">
        <v>30</v>
      </c>
      <c r="B9" s="30">
        <f>E2*0.015</f>
        <v>1.5</v>
      </c>
      <c r="C9" s="31"/>
      <c r="D9" s="31"/>
      <c r="E9" s="31"/>
    </row>
    <row r="10" spans="1:5" ht="16.5" customHeight="1">
      <c r="A10" s="35" t="s">
        <v>122</v>
      </c>
      <c r="B10" s="36">
        <f>E2*0.0015</f>
        <v>0.15</v>
      </c>
      <c r="C10" s="37"/>
      <c r="D10" s="37"/>
      <c r="E10" s="37"/>
    </row>
    <row r="11" spans="1:5" ht="21" customHeight="1">
      <c r="A11" s="181" t="s">
        <v>86</v>
      </c>
      <c r="B11" s="182"/>
      <c r="C11" s="182"/>
      <c r="D11" s="182"/>
      <c r="E11" s="183"/>
    </row>
    <row r="12" spans="1:11" ht="16.5" customHeight="1">
      <c r="A12" s="75" t="s">
        <v>160</v>
      </c>
      <c r="B12" s="36">
        <f>E2*0.005</f>
        <v>0.5</v>
      </c>
      <c r="C12" s="138"/>
      <c r="D12" s="138"/>
      <c r="E12" s="138"/>
      <c r="K12" s="2">
        <v>66</v>
      </c>
    </row>
    <row r="13" spans="1:5" ht="16.5" customHeight="1">
      <c r="A13" s="29" t="str">
        <f>Сырьё!$B$8</f>
        <v>Lomon  R996</v>
      </c>
      <c r="B13" s="30">
        <f>E2*0.015</f>
        <v>1.5</v>
      </c>
      <c r="C13" s="31"/>
      <c r="D13" s="31"/>
      <c r="E13" s="31"/>
    </row>
    <row r="14" spans="1:5" ht="16.5" customHeight="1">
      <c r="A14" s="35" t="str">
        <f>Сырьё!$B$9</f>
        <v>Omyacarb 2-UR</v>
      </c>
      <c r="B14" s="36">
        <f>E2*0.4</f>
        <v>40</v>
      </c>
      <c r="C14" s="37"/>
      <c r="D14" s="37"/>
      <c r="E14" s="37"/>
    </row>
    <row r="15" spans="1:5" ht="16.5" customHeight="1">
      <c r="A15" s="35" t="s">
        <v>180</v>
      </c>
      <c r="B15" s="33">
        <f>E2*0.15</f>
        <v>15</v>
      </c>
      <c r="C15" s="34"/>
      <c r="D15" s="34"/>
      <c r="E15" s="34"/>
    </row>
    <row r="16" spans="1:5" ht="21" customHeight="1">
      <c r="A16" s="184" t="s">
        <v>89</v>
      </c>
      <c r="B16" s="185"/>
      <c r="C16" s="185"/>
      <c r="D16" s="185"/>
      <c r="E16" s="186"/>
    </row>
    <row r="17" spans="1:5" ht="16.5" customHeight="1">
      <c r="A17" s="32" t="str">
        <f>Сырьё!$B$3</f>
        <v>DL-430</v>
      </c>
      <c r="B17" s="30">
        <f>E2*0.04</f>
        <v>4</v>
      </c>
      <c r="C17" s="38"/>
      <c r="D17" s="38"/>
      <c r="E17" s="38"/>
    </row>
    <row r="18" spans="1:5" ht="16.5" customHeight="1">
      <c r="A18" s="35" t="str">
        <f>Сырьё!$B$7</f>
        <v>Консервант Acticide FI</v>
      </c>
      <c r="B18" s="36">
        <f>E2*0.003</f>
        <v>0.3</v>
      </c>
      <c r="C18" s="37"/>
      <c r="D18" s="37"/>
      <c r="E18" s="37"/>
    </row>
    <row r="19" spans="1:5" ht="15.75" customHeight="1">
      <c r="A19" s="35" t="s">
        <v>61</v>
      </c>
      <c r="B19" s="36">
        <f>E2*0.0005</f>
        <v>0.05</v>
      </c>
      <c r="C19" s="37"/>
      <c r="D19" s="37"/>
      <c r="E19" s="37"/>
    </row>
    <row r="20" spans="1:5" s="56" customFormat="1" ht="16.5" customHeight="1">
      <c r="A20" s="35" t="str">
        <f>Сырьё!$B$6</f>
        <v>Пеногаситель Contrapen PR-194</v>
      </c>
      <c r="B20" s="36">
        <f>E2*0.001</f>
        <v>0.1</v>
      </c>
      <c r="C20" s="37"/>
      <c r="D20" s="37"/>
      <c r="E20" s="37"/>
    </row>
    <row r="21" spans="1:5" ht="16.5" customHeight="1">
      <c r="A21" s="32" t="str">
        <f>Сырьё!$B$17</f>
        <v>Загуститель Rheovis 112</v>
      </c>
      <c r="B21" s="33">
        <f>E2*0.0035</f>
        <v>0.35000000000000003</v>
      </c>
      <c r="C21" s="190" t="s">
        <v>91</v>
      </c>
      <c r="D21" s="191"/>
      <c r="E21" s="192"/>
    </row>
    <row r="22" spans="1:5" ht="16.5" customHeight="1">
      <c r="A22" s="32" t="s">
        <v>0</v>
      </c>
      <c r="B22" s="33">
        <f>E2*0.002</f>
        <v>0.2</v>
      </c>
      <c r="C22" s="193"/>
      <c r="D22" s="194"/>
      <c r="E22" s="195"/>
    </row>
    <row r="23" spans="1:5" ht="33" customHeight="1">
      <c r="A23" s="187" t="s">
        <v>92</v>
      </c>
      <c r="B23" s="188"/>
      <c r="C23" s="188"/>
      <c r="D23" s="188"/>
      <c r="E23" s="189"/>
    </row>
    <row r="24" spans="1:5" ht="16.5" customHeight="1">
      <c r="A24" s="4" t="s">
        <v>11</v>
      </c>
      <c r="B24" s="3">
        <f>SUM(B6:B22)</f>
        <v>99.99999999999999</v>
      </c>
      <c r="C24" s="1"/>
      <c r="D24" s="1"/>
      <c r="E24" s="1"/>
    </row>
    <row r="25" spans="1:5" ht="13.5" customHeight="1">
      <c r="A25" s="12" t="s">
        <v>32</v>
      </c>
      <c r="B25" s="13">
        <f>(B7+B9*0.1+B10*0.4+B13+B14+B15+B17*0.5+(B20+B21)*0.3)*100/E2</f>
        <v>59.195</v>
      </c>
      <c r="C25" s="14"/>
      <c r="D25" s="14"/>
      <c r="E25" s="14"/>
    </row>
    <row r="26" spans="1:5" ht="21.75" customHeight="1">
      <c r="A26" s="148" t="s">
        <v>45</v>
      </c>
      <c r="B26" s="148"/>
      <c r="C26" s="148" t="s">
        <v>12</v>
      </c>
      <c r="D26" s="148"/>
      <c r="E26" s="148"/>
    </row>
    <row r="27" spans="1:10" s="16" customFormat="1" ht="11.25" customHeight="1">
      <c r="A27" s="163" t="s">
        <v>33</v>
      </c>
      <c r="B27" s="163"/>
      <c r="C27" s="163"/>
      <c r="D27" s="163"/>
      <c r="E27" s="163"/>
      <c r="F27" s="15"/>
      <c r="G27" s="15"/>
      <c r="H27" s="15"/>
      <c r="I27" s="15"/>
      <c r="J27" s="15"/>
    </row>
    <row r="28" spans="1:10" s="16" customFormat="1" ht="39" customHeight="1">
      <c r="A28" s="17" t="s">
        <v>13</v>
      </c>
      <c r="B28" s="159" t="s">
        <v>47</v>
      </c>
      <c r="C28" s="152"/>
      <c r="D28" s="151" t="s">
        <v>14</v>
      </c>
      <c r="E28" s="152"/>
      <c r="F28" s="18"/>
      <c r="G28" s="19"/>
      <c r="H28" s="19"/>
      <c r="I28" s="19"/>
      <c r="J28" s="19"/>
    </row>
    <row r="29" spans="1:10" s="16" customFormat="1" ht="18" customHeight="1">
      <c r="A29" s="20" t="s">
        <v>4</v>
      </c>
      <c r="B29" s="197" t="s">
        <v>34</v>
      </c>
      <c r="C29" s="179"/>
      <c r="D29" s="178" t="s">
        <v>2</v>
      </c>
      <c r="E29" s="179"/>
      <c r="F29" s="18"/>
      <c r="G29" s="19"/>
      <c r="H29" s="19"/>
      <c r="I29" s="19"/>
      <c r="J29" s="19"/>
    </row>
    <row r="30" spans="1:10" s="16" customFormat="1" ht="18" customHeight="1">
      <c r="A30" s="20" t="s">
        <v>35</v>
      </c>
      <c r="B30" s="197" t="s">
        <v>36</v>
      </c>
      <c r="C30" s="179"/>
      <c r="D30" s="178"/>
      <c r="E30" s="179"/>
      <c r="F30" s="18"/>
      <c r="G30" s="19"/>
      <c r="H30" s="19"/>
      <c r="I30" s="19"/>
      <c r="J30" s="19"/>
    </row>
    <row r="31" spans="1:10" s="16" customFormat="1" ht="18" customHeight="1">
      <c r="A31" s="20" t="s">
        <v>16</v>
      </c>
      <c r="B31" s="198" t="s">
        <v>37</v>
      </c>
      <c r="C31" s="199"/>
      <c r="D31" s="178" t="s">
        <v>3</v>
      </c>
      <c r="E31" s="179"/>
      <c r="F31" s="18"/>
      <c r="G31" s="19"/>
      <c r="H31" s="19"/>
      <c r="I31" s="19"/>
      <c r="J31" s="19"/>
    </row>
    <row r="32" spans="1:10" s="16" customFormat="1" ht="30" customHeight="1">
      <c r="A32" s="21" t="s">
        <v>38</v>
      </c>
      <c r="B32" s="198" t="s">
        <v>81</v>
      </c>
      <c r="C32" s="199"/>
      <c r="D32" s="178"/>
      <c r="E32" s="179"/>
      <c r="F32" s="18"/>
      <c r="G32" s="19"/>
      <c r="H32" s="19"/>
      <c r="I32" s="19"/>
      <c r="J32" s="19"/>
    </row>
    <row r="33" spans="1:10" s="16" customFormat="1" ht="18" customHeight="1">
      <c r="A33" s="20" t="s">
        <v>17</v>
      </c>
      <c r="B33" s="198" t="s">
        <v>40</v>
      </c>
      <c r="C33" s="199"/>
      <c r="D33" s="178"/>
      <c r="E33" s="179"/>
      <c r="F33" s="18"/>
      <c r="G33" s="19"/>
      <c r="H33" s="19"/>
      <c r="I33" s="19"/>
      <c r="J33" s="19"/>
    </row>
    <row r="34" spans="1:10" s="16" customFormat="1" ht="30" customHeight="1">
      <c r="A34" s="21" t="s">
        <v>41</v>
      </c>
      <c r="B34" s="198" t="s">
        <v>42</v>
      </c>
      <c r="C34" s="199"/>
      <c r="D34" s="178" t="s">
        <v>2</v>
      </c>
      <c r="E34" s="179"/>
      <c r="F34" s="18"/>
      <c r="G34" s="19"/>
      <c r="H34" s="19"/>
      <c r="I34" s="19"/>
      <c r="J34" s="19"/>
    </row>
    <row r="35" spans="1:6" s="16" customFormat="1" ht="14.25" customHeight="1">
      <c r="A35" s="171" t="s">
        <v>15</v>
      </c>
      <c r="B35" s="171"/>
      <c r="C35" s="22"/>
      <c r="D35" s="23" t="s">
        <v>19</v>
      </c>
      <c r="E35" s="24" t="s">
        <v>123</v>
      </c>
      <c r="F35" s="25"/>
    </row>
  </sheetData>
  <sheetProtection/>
  <mergeCells count="28">
    <mergeCell ref="C21:E22"/>
    <mergeCell ref="D34:E34"/>
    <mergeCell ref="D28:E28"/>
    <mergeCell ref="D29:E29"/>
    <mergeCell ref="D30:E30"/>
    <mergeCell ref="D33:E33"/>
    <mergeCell ref="D31:E31"/>
    <mergeCell ref="D32:E32"/>
    <mergeCell ref="A1:E1"/>
    <mergeCell ref="B28:C28"/>
    <mergeCell ref="A27:E27"/>
    <mergeCell ref="A11:E11"/>
    <mergeCell ref="A16:E16"/>
    <mergeCell ref="A23:E23"/>
    <mergeCell ref="A3:C3"/>
    <mergeCell ref="B2:C2"/>
    <mergeCell ref="A26:B26"/>
    <mergeCell ref="A8:E8"/>
    <mergeCell ref="D4:E4"/>
    <mergeCell ref="B4:C4"/>
    <mergeCell ref="A35:B35"/>
    <mergeCell ref="B29:C29"/>
    <mergeCell ref="B30:C30"/>
    <mergeCell ref="B33:C33"/>
    <mergeCell ref="B34:C34"/>
    <mergeCell ref="B31:C31"/>
    <mergeCell ref="B32:C32"/>
    <mergeCell ref="C26:E26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1:J36"/>
  <sheetViews>
    <sheetView showGridLines="0" zoomScale="75" zoomScaleNormal="75" zoomScalePageLayoutView="0" workbookViewId="0" topLeftCell="A1">
      <selection activeCell="D19" sqref="D19"/>
    </sheetView>
  </sheetViews>
  <sheetFormatPr defaultColWidth="9.00390625" defaultRowHeight="12.75"/>
  <cols>
    <col min="1" max="1" width="33.875" style="2" customWidth="1"/>
    <col min="2" max="2" width="11.25390625" style="2" customWidth="1"/>
    <col min="3" max="3" width="13.625" style="2" customWidth="1"/>
    <col min="4" max="5" width="14.75390625" style="2" customWidth="1"/>
    <col min="6" max="16384" width="9.125" style="2" customWidth="1"/>
  </cols>
  <sheetData>
    <row r="1" spans="1:5" ht="36" customHeight="1">
      <c r="A1" s="157" t="s">
        <v>143</v>
      </c>
      <c r="B1" s="180"/>
      <c r="C1" s="180"/>
      <c r="D1" s="180"/>
      <c r="E1" s="180"/>
    </row>
    <row r="2" spans="1:5" ht="18.75" customHeight="1">
      <c r="A2" s="5" t="s">
        <v>28</v>
      </c>
      <c r="B2" s="168" t="s">
        <v>188</v>
      </c>
      <c r="C2" s="169"/>
      <c r="D2" s="7" t="s">
        <v>7</v>
      </c>
      <c r="E2" s="9">
        <v>2000</v>
      </c>
    </row>
    <row r="3" spans="1:5" ht="24" customHeight="1">
      <c r="A3" s="160" t="s">
        <v>29</v>
      </c>
      <c r="B3" s="161"/>
      <c r="C3" s="162"/>
      <c r="D3" s="5" t="s">
        <v>21</v>
      </c>
      <c r="E3" s="9"/>
    </row>
    <row r="4" spans="1:5" ht="24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45.7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5" ht="16.5" customHeight="1">
      <c r="A6" s="29" t="s">
        <v>0</v>
      </c>
      <c r="B6" s="30">
        <f>E2-SUM(B7:B23)</f>
        <v>720</v>
      </c>
      <c r="C6" s="31"/>
      <c r="D6" s="31"/>
      <c r="E6" s="31"/>
    </row>
    <row r="7" spans="1:5" ht="16.5" customHeight="1">
      <c r="A7" s="32" t="str">
        <f>Сырьё!$B$15</f>
        <v>Polycol  WP-20B</v>
      </c>
      <c r="B7" s="33">
        <f>IF(A7="Walocel XM 6000 PV",E2*0.0046,IF(A7="Walocel XM 20000 PV",E2*0.0036,E2*0.0035))</f>
        <v>7</v>
      </c>
      <c r="C7" s="34"/>
      <c r="D7" s="34"/>
      <c r="E7" s="34"/>
    </row>
    <row r="8" spans="1:5" ht="21" customHeight="1">
      <c r="A8" s="184" t="s">
        <v>90</v>
      </c>
      <c r="B8" s="185"/>
      <c r="C8" s="185"/>
      <c r="D8" s="185"/>
      <c r="E8" s="186"/>
    </row>
    <row r="9" spans="1:5" ht="16.5" customHeight="1">
      <c r="A9" s="29" t="s">
        <v>30</v>
      </c>
      <c r="B9" s="30">
        <f>E2*0.015</f>
        <v>30</v>
      </c>
      <c r="C9" s="31"/>
      <c r="D9" s="31"/>
      <c r="E9" s="31"/>
    </row>
    <row r="10" spans="1:5" ht="16.5" customHeight="1">
      <c r="A10" s="35" t="s">
        <v>122</v>
      </c>
      <c r="B10" s="36">
        <f>E2*0.0015</f>
        <v>3</v>
      </c>
      <c r="C10" s="37"/>
      <c r="D10" s="37"/>
      <c r="E10" s="37"/>
    </row>
    <row r="11" spans="1:5" ht="16.5" customHeight="1" hidden="1">
      <c r="A11" s="35"/>
      <c r="B11" s="36"/>
      <c r="C11" s="37"/>
      <c r="D11" s="37"/>
      <c r="E11" s="37"/>
    </row>
    <row r="12" spans="1:5" ht="21" customHeight="1">
      <c r="A12" s="181" t="s">
        <v>86</v>
      </c>
      <c r="B12" s="182"/>
      <c r="C12" s="182"/>
      <c r="D12" s="182"/>
      <c r="E12" s="183"/>
    </row>
    <row r="13" spans="1:5" ht="16.5" customHeight="1">
      <c r="A13" s="75" t="s">
        <v>160</v>
      </c>
      <c r="B13" s="36">
        <f>E2*0.005</f>
        <v>10</v>
      </c>
      <c r="C13" s="138"/>
      <c r="D13" s="138"/>
      <c r="E13" s="138"/>
    </row>
    <row r="14" spans="1:5" ht="16.5" customHeight="1">
      <c r="A14" s="29" t="str">
        <f>Сырьё!$B$8</f>
        <v>Lomon  R996</v>
      </c>
      <c r="B14" s="30">
        <f>E2*0.015</f>
        <v>30</v>
      </c>
      <c r="C14" s="31"/>
      <c r="D14" s="31"/>
      <c r="E14" s="31"/>
    </row>
    <row r="15" spans="1:5" ht="16.5" customHeight="1">
      <c r="A15" s="35" t="str">
        <f>Сырьё!$B$9</f>
        <v>Omyacarb 2-UR</v>
      </c>
      <c r="B15" s="36">
        <f>E2*0.4</f>
        <v>800</v>
      </c>
      <c r="C15" s="37"/>
      <c r="D15" s="37"/>
      <c r="E15" s="37"/>
    </row>
    <row r="16" spans="1:5" ht="16.5" customHeight="1">
      <c r="A16" s="35" t="s">
        <v>180</v>
      </c>
      <c r="B16" s="33">
        <f>E2*0.15</f>
        <v>300</v>
      </c>
      <c r="C16" s="34"/>
      <c r="D16" s="34"/>
      <c r="E16" s="34"/>
    </row>
    <row r="17" spans="1:5" ht="21" customHeight="1">
      <c r="A17" s="184" t="s">
        <v>89</v>
      </c>
      <c r="B17" s="185"/>
      <c r="C17" s="185"/>
      <c r="D17" s="185"/>
      <c r="E17" s="186"/>
    </row>
    <row r="18" spans="1:5" ht="16.5" customHeight="1">
      <c r="A18" s="32" t="str">
        <f>Сырьё!$B$3</f>
        <v>DL-430</v>
      </c>
      <c r="B18" s="30">
        <f>E2*0.04</f>
        <v>80</v>
      </c>
      <c r="C18" s="38"/>
      <c r="D18" s="38"/>
      <c r="E18" s="38"/>
    </row>
    <row r="19" spans="1:5" ht="16.5" customHeight="1">
      <c r="A19" s="35" t="str">
        <f>Сырьё!$B$7</f>
        <v>Консервант Acticide FI</v>
      </c>
      <c r="B19" s="36">
        <f>E2*0.003</f>
        <v>6</v>
      </c>
      <c r="C19" s="37"/>
      <c r="D19" s="37"/>
      <c r="E19" s="37"/>
    </row>
    <row r="20" spans="1:5" ht="15.75" customHeight="1">
      <c r="A20" s="35" t="s">
        <v>61</v>
      </c>
      <c r="B20" s="36">
        <f>E2*0.0005</f>
        <v>1</v>
      </c>
      <c r="C20" s="37"/>
      <c r="D20" s="37"/>
      <c r="E20" s="37"/>
    </row>
    <row r="21" spans="1:5" s="56" customFormat="1" ht="16.5" customHeight="1">
      <c r="A21" s="35" t="str">
        <f>Сырьё!$B$6</f>
        <v>Пеногаситель Contrapen PR-194</v>
      </c>
      <c r="B21" s="36">
        <f>E2*0.001</f>
        <v>2</v>
      </c>
      <c r="C21" s="37"/>
      <c r="D21" s="37"/>
      <c r="E21" s="37"/>
    </row>
    <row r="22" spans="1:5" ht="16.5" customHeight="1">
      <c r="A22" s="32" t="str">
        <f>Сырьё!$B$17</f>
        <v>Загуститель Rheovis 112</v>
      </c>
      <c r="B22" s="33">
        <f>E2*0.0035</f>
        <v>7</v>
      </c>
      <c r="C22" s="190" t="s">
        <v>91</v>
      </c>
      <c r="D22" s="191"/>
      <c r="E22" s="192"/>
    </row>
    <row r="23" spans="1:5" ht="16.5" customHeight="1">
      <c r="A23" s="32" t="s">
        <v>0</v>
      </c>
      <c r="B23" s="33">
        <f>E2*0.002</f>
        <v>4</v>
      </c>
      <c r="C23" s="193"/>
      <c r="D23" s="194"/>
      <c r="E23" s="195"/>
    </row>
    <row r="24" spans="1:5" ht="33" customHeight="1">
      <c r="A24" s="187" t="s">
        <v>92</v>
      </c>
      <c r="B24" s="188"/>
      <c r="C24" s="188"/>
      <c r="D24" s="188"/>
      <c r="E24" s="189"/>
    </row>
    <row r="25" spans="1:5" ht="16.5" customHeight="1">
      <c r="A25" s="4" t="s">
        <v>11</v>
      </c>
      <c r="B25" s="3">
        <f>SUM(B6:B23)</f>
        <v>2000</v>
      </c>
      <c r="C25" s="1"/>
      <c r="D25" s="1"/>
      <c r="E25" s="1"/>
    </row>
    <row r="26" spans="1:5" ht="13.5" customHeight="1">
      <c r="A26" s="12" t="s">
        <v>32</v>
      </c>
      <c r="B26" s="13">
        <f>(B7+B9*0.1+B10*0.4+B11+B14+B15+B16+B18*0.5+(B21+B22)*0.3)*100/E2</f>
        <v>59.19500000000001</v>
      </c>
      <c r="C26" s="14"/>
      <c r="D26" s="14"/>
      <c r="E26" s="14"/>
    </row>
    <row r="27" spans="1:5" ht="21.75" customHeight="1">
      <c r="A27" s="148" t="s">
        <v>45</v>
      </c>
      <c r="B27" s="148"/>
      <c r="C27" s="148" t="s">
        <v>12</v>
      </c>
      <c r="D27" s="148"/>
      <c r="E27" s="148"/>
    </row>
    <row r="28" spans="1:10" s="16" customFormat="1" ht="11.25" customHeight="1">
      <c r="A28" s="163" t="s">
        <v>33</v>
      </c>
      <c r="B28" s="163"/>
      <c r="C28" s="163"/>
      <c r="D28" s="163"/>
      <c r="E28" s="163"/>
      <c r="F28" s="15"/>
      <c r="G28" s="15"/>
      <c r="H28" s="15"/>
      <c r="I28" s="15"/>
      <c r="J28" s="15"/>
    </row>
    <row r="29" spans="1:10" s="16" customFormat="1" ht="39" customHeight="1">
      <c r="A29" s="17" t="s">
        <v>13</v>
      </c>
      <c r="B29" s="159" t="s">
        <v>47</v>
      </c>
      <c r="C29" s="152"/>
      <c r="D29" s="151" t="s">
        <v>14</v>
      </c>
      <c r="E29" s="152"/>
      <c r="F29" s="18"/>
      <c r="G29" s="19"/>
      <c r="H29" s="19"/>
      <c r="I29" s="19"/>
      <c r="J29" s="19"/>
    </row>
    <row r="30" spans="1:10" s="16" customFormat="1" ht="18" customHeight="1">
      <c r="A30" s="20" t="s">
        <v>4</v>
      </c>
      <c r="B30" s="197" t="s">
        <v>34</v>
      </c>
      <c r="C30" s="179"/>
      <c r="D30" s="178" t="s">
        <v>2</v>
      </c>
      <c r="E30" s="179"/>
      <c r="F30" s="18"/>
      <c r="G30" s="19"/>
      <c r="H30" s="19"/>
      <c r="I30" s="19"/>
      <c r="J30" s="19"/>
    </row>
    <row r="31" spans="1:10" s="16" customFormat="1" ht="18" customHeight="1">
      <c r="A31" s="20" t="s">
        <v>35</v>
      </c>
      <c r="B31" s="197" t="s">
        <v>36</v>
      </c>
      <c r="C31" s="179"/>
      <c r="D31" s="178"/>
      <c r="E31" s="179"/>
      <c r="F31" s="18"/>
      <c r="G31" s="19"/>
      <c r="H31" s="19"/>
      <c r="I31" s="19"/>
      <c r="J31" s="19"/>
    </row>
    <row r="32" spans="1:10" s="16" customFormat="1" ht="18" customHeight="1">
      <c r="A32" s="20" t="s">
        <v>16</v>
      </c>
      <c r="B32" s="198" t="s">
        <v>37</v>
      </c>
      <c r="C32" s="199"/>
      <c r="D32" s="178" t="s">
        <v>3</v>
      </c>
      <c r="E32" s="179"/>
      <c r="F32" s="18"/>
      <c r="G32" s="19"/>
      <c r="H32" s="19"/>
      <c r="I32" s="19"/>
      <c r="J32" s="19"/>
    </row>
    <row r="33" spans="1:10" s="16" customFormat="1" ht="30" customHeight="1">
      <c r="A33" s="21" t="s">
        <v>38</v>
      </c>
      <c r="B33" s="198" t="s">
        <v>81</v>
      </c>
      <c r="C33" s="199"/>
      <c r="D33" s="178"/>
      <c r="E33" s="179"/>
      <c r="F33" s="18"/>
      <c r="G33" s="19"/>
      <c r="H33" s="19"/>
      <c r="I33" s="19"/>
      <c r="J33" s="19"/>
    </row>
    <row r="34" spans="1:10" s="16" customFormat="1" ht="18" customHeight="1">
      <c r="A34" s="20" t="s">
        <v>17</v>
      </c>
      <c r="B34" s="198" t="s">
        <v>40</v>
      </c>
      <c r="C34" s="199"/>
      <c r="D34" s="178"/>
      <c r="E34" s="179"/>
      <c r="F34" s="18"/>
      <c r="G34" s="19"/>
      <c r="H34" s="19"/>
      <c r="I34" s="19"/>
      <c r="J34" s="19"/>
    </row>
    <row r="35" spans="1:10" s="16" customFormat="1" ht="30" customHeight="1">
      <c r="A35" s="21" t="s">
        <v>41</v>
      </c>
      <c r="B35" s="198" t="s">
        <v>42</v>
      </c>
      <c r="C35" s="199"/>
      <c r="D35" s="178" t="s">
        <v>2</v>
      </c>
      <c r="E35" s="179"/>
      <c r="F35" s="18"/>
      <c r="G35" s="19"/>
      <c r="H35" s="19"/>
      <c r="I35" s="19"/>
      <c r="J35" s="19"/>
    </row>
    <row r="36" spans="1:6" s="16" customFormat="1" ht="14.25" customHeight="1">
      <c r="A36" s="171" t="s">
        <v>15</v>
      </c>
      <c r="B36" s="171"/>
      <c r="C36" s="22"/>
      <c r="D36" s="23" t="s">
        <v>19</v>
      </c>
      <c r="E36" s="24" t="s">
        <v>123</v>
      </c>
      <c r="F36" s="25"/>
    </row>
  </sheetData>
  <sheetProtection selectLockedCells="1"/>
  <mergeCells count="28">
    <mergeCell ref="D4:E4"/>
    <mergeCell ref="B4:C4"/>
    <mergeCell ref="A36:B36"/>
    <mergeCell ref="B30:C30"/>
    <mergeCell ref="B31:C31"/>
    <mergeCell ref="B34:C34"/>
    <mergeCell ref="B35:C35"/>
    <mergeCell ref="B32:C32"/>
    <mergeCell ref="B33:C33"/>
    <mergeCell ref="C27:E27"/>
    <mergeCell ref="A1:E1"/>
    <mergeCell ref="B29:C29"/>
    <mergeCell ref="A28:E28"/>
    <mergeCell ref="A12:E12"/>
    <mergeCell ref="A17:E17"/>
    <mergeCell ref="A24:E24"/>
    <mergeCell ref="A3:C3"/>
    <mergeCell ref="B2:C2"/>
    <mergeCell ref="A27:B27"/>
    <mergeCell ref="A8:E8"/>
    <mergeCell ref="C22:E23"/>
    <mergeCell ref="D35:E35"/>
    <mergeCell ref="D29:E29"/>
    <mergeCell ref="D30:E30"/>
    <mergeCell ref="D31:E31"/>
    <mergeCell ref="D34:E34"/>
    <mergeCell ref="D32:E32"/>
    <mergeCell ref="D33:E33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3"/>
  </sheetPr>
  <dimension ref="A1:G35"/>
  <sheetViews>
    <sheetView showGridLines="0" zoomScale="75" zoomScaleNormal="75" zoomScalePageLayoutView="0" workbookViewId="0" topLeftCell="A1">
      <selection activeCell="E3" sqref="E3"/>
    </sheetView>
  </sheetViews>
  <sheetFormatPr defaultColWidth="9.00390625" defaultRowHeight="12.75"/>
  <cols>
    <col min="1" max="1" width="34.25390625" style="63" customWidth="1"/>
    <col min="2" max="2" width="14.75390625" style="63" customWidth="1"/>
    <col min="3" max="3" width="14.125" style="63" customWidth="1"/>
    <col min="4" max="4" width="13.375" style="63" customWidth="1"/>
    <col min="5" max="5" width="14.75390625" style="63" customWidth="1"/>
    <col min="6" max="16384" width="9.125" style="63" customWidth="1"/>
  </cols>
  <sheetData>
    <row r="1" spans="1:5" ht="39" customHeight="1">
      <c r="A1" s="218" t="s">
        <v>144</v>
      </c>
      <c r="B1" s="219"/>
      <c r="C1" s="219"/>
      <c r="D1" s="219"/>
      <c r="E1" s="219"/>
    </row>
    <row r="2" spans="1:5" ht="15" customHeight="1">
      <c r="A2" s="64" t="s">
        <v>28</v>
      </c>
      <c r="B2" s="251">
        <f ca="1">TODAY()</f>
        <v>43794</v>
      </c>
      <c r="C2" s="252"/>
      <c r="D2" s="65" t="s">
        <v>7</v>
      </c>
      <c r="E2" s="66">
        <v>100</v>
      </c>
    </row>
    <row r="3" spans="1:5" ht="15.75" customHeight="1">
      <c r="A3" s="229" t="s">
        <v>29</v>
      </c>
      <c r="B3" s="230"/>
      <c r="C3" s="231"/>
      <c r="D3" s="64" t="s">
        <v>21</v>
      </c>
      <c r="E3" s="66"/>
    </row>
    <row r="4" spans="1:5" ht="15.75" customHeight="1">
      <c r="A4" s="103" t="s">
        <v>54</v>
      </c>
      <c r="B4" s="209" t="s">
        <v>55</v>
      </c>
      <c r="C4" s="209"/>
      <c r="D4" s="209" t="s">
        <v>20</v>
      </c>
      <c r="E4" s="209"/>
    </row>
    <row r="5" spans="1:5" ht="33.75" customHeight="1">
      <c r="A5" s="68" t="s">
        <v>8</v>
      </c>
      <c r="B5" s="68" t="s">
        <v>5</v>
      </c>
      <c r="C5" s="68" t="s">
        <v>9</v>
      </c>
      <c r="D5" s="68" t="s">
        <v>6</v>
      </c>
      <c r="E5" s="68" t="s">
        <v>10</v>
      </c>
    </row>
    <row r="6" spans="1:5" ht="16.5" customHeight="1">
      <c r="A6" s="69" t="s">
        <v>0</v>
      </c>
      <c r="B6" s="70">
        <f>E2-SUM(B7:B22)</f>
        <v>31.040000000000006</v>
      </c>
      <c r="C6" s="71"/>
      <c r="D6" s="71"/>
      <c r="E6" s="71"/>
    </row>
    <row r="7" spans="1:5" ht="16.5" customHeight="1">
      <c r="A7" s="72" t="str">
        <f>Сырьё!B16</f>
        <v>Polycol  WP-20B</v>
      </c>
      <c r="B7" s="85">
        <f>E2*0.004</f>
        <v>0.4</v>
      </c>
      <c r="C7" s="74"/>
      <c r="D7" s="74"/>
      <c r="E7" s="74"/>
    </row>
    <row r="8" spans="1:5" ht="15.75" customHeight="1">
      <c r="A8" s="215" t="s">
        <v>90</v>
      </c>
      <c r="B8" s="216"/>
      <c r="C8" s="216"/>
      <c r="D8" s="216"/>
      <c r="E8" s="217"/>
    </row>
    <row r="9" spans="1:5" ht="16.5" customHeight="1">
      <c r="A9" s="69" t="s">
        <v>30</v>
      </c>
      <c r="B9" s="70">
        <f>E2*0.015</f>
        <v>1.5</v>
      </c>
      <c r="C9" s="71"/>
      <c r="D9" s="71"/>
      <c r="E9" s="71"/>
    </row>
    <row r="10" spans="1:5" ht="16.5" customHeight="1">
      <c r="A10" s="75" t="str">
        <f>Сырьё!B5</f>
        <v>Диспергатор Opotan N4045</v>
      </c>
      <c r="B10" s="76">
        <f>E2*0.0015</f>
        <v>0.15</v>
      </c>
      <c r="C10" s="77"/>
      <c r="D10" s="77"/>
      <c r="E10" s="77"/>
    </row>
    <row r="11" spans="1:5" ht="16.5" customHeight="1">
      <c r="A11" s="75" t="s">
        <v>52</v>
      </c>
      <c r="B11" s="76">
        <f>E2*0.0001</f>
        <v>0.01</v>
      </c>
      <c r="C11" s="77"/>
      <c r="D11" s="77"/>
      <c r="E11" s="77"/>
    </row>
    <row r="12" spans="1:5" ht="17.25" customHeight="1">
      <c r="A12" s="223" t="s">
        <v>86</v>
      </c>
      <c r="B12" s="224"/>
      <c r="C12" s="224"/>
      <c r="D12" s="224"/>
      <c r="E12" s="225"/>
    </row>
    <row r="13" spans="1:5" ht="17.25" customHeight="1">
      <c r="A13" s="75" t="s">
        <v>159</v>
      </c>
      <c r="B13" s="76">
        <f>E2*0.005</f>
        <v>0.5</v>
      </c>
      <c r="C13" s="77"/>
      <c r="D13" s="77"/>
      <c r="E13" s="77"/>
    </row>
    <row r="14" spans="1:5" ht="16.5" customHeight="1">
      <c r="A14" s="69" t="s">
        <v>83</v>
      </c>
      <c r="B14" s="70">
        <f>E2*0.0005</f>
        <v>0.05</v>
      </c>
      <c r="C14" s="71"/>
      <c r="D14" s="71"/>
      <c r="E14" s="71"/>
    </row>
    <row r="15" spans="1:5" ht="16.5" customHeight="1">
      <c r="A15" s="69" t="s">
        <v>141</v>
      </c>
      <c r="B15" s="70">
        <f>E2*0.02</f>
        <v>2</v>
      </c>
      <c r="C15" s="71"/>
      <c r="D15" s="71"/>
      <c r="E15" s="71"/>
    </row>
    <row r="16" spans="1:5" ht="16.5" customHeight="1">
      <c r="A16" s="75" t="str">
        <f>Сырьё!B9</f>
        <v>Omyacarb 2-UR</v>
      </c>
      <c r="B16" s="76">
        <f>E2*0.4</f>
        <v>40</v>
      </c>
      <c r="C16" s="77"/>
      <c r="D16" s="77"/>
      <c r="E16" s="77"/>
    </row>
    <row r="17" spans="1:5" ht="16.5" customHeight="1">
      <c r="A17" s="75" t="str">
        <f>Сырьё!B12</f>
        <v>Omyacarb 5UR</v>
      </c>
      <c r="B17" s="76">
        <f>E2*0.15</f>
        <v>15</v>
      </c>
      <c r="C17" s="77"/>
      <c r="D17" s="77"/>
      <c r="E17" s="77"/>
    </row>
    <row r="18" spans="1:5" ht="17.25" customHeight="1">
      <c r="A18" s="215" t="s">
        <v>89</v>
      </c>
      <c r="B18" s="216"/>
      <c r="C18" s="216"/>
      <c r="D18" s="216"/>
      <c r="E18" s="217"/>
    </row>
    <row r="19" spans="1:5" ht="16.5" customHeight="1">
      <c r="A19" s="69" t="str">
        <f>Сырьё!B4</f>
        <v>DL-430</v>
      </c>
      <c r="B19" s="70">
        <f>E2*0.09</f>
        <v>9</v>
      </c>
      <c r="C19" s="84"/>
      <c r="D19" s="84"/>
      <c r="E19" s="84"/>
    </row>
    <row r="20" spans="1:5" ht="16.5" customHeight="1">
      <c r="A20" s="75" t="str">
        <f>'[3]Сырьё'!$B$9</f>
        <v>Консервант Acticide FI</v>
      </c>
      <c r="B20" s="76">
        <f>E2*0.002</f>
        <v>0.2</v>
      </c>
      <c r="C20" s="77"/>
      <c r="D20" s="77"/>
      <c r="E20" s="77"/>
    </row>
    <row r="21" spans="1:5" ht="15.75" customHeight="1">
      <c r="A21" s="75" t="s">
        <v>61</v>
      </c>
      <c r="B21" s="76">
        <f>E2*0.0005</f>
        <v>0.05</v>
      </c>
      <c r="C21" s="77"/>
      <c r="D21" s="77"/>
      <c r="E21" s="77"/>
    </row>
    <row r="22" spans="1:5" ht="16.5" customHeight="1">
      <c r="A22" s="75" t="str">
        <f>'[3]Сырьё'!$B$7</f>
        <v>Пеногаситель Serdas 7015</v>
      </c>
      <c r="B22" s="76">
        <f>E2*0.001</f>
        <v>0.1</v>
      </c>
      <c r="C22" s="77"/>
      <c r="D22" s="77"/>
      <c r="E22" s="77"/>
    </row>
    <row r="23" spans="1:5" ht="33.75" customHeight="1">
      <c r="A23" s="226" t="s">
        <v>92</v>
      </c>
      <c r="B23" s="227"/>
      <c r="C23" s="227"/>
      <c r="D23" s="227"/>
      <c r="E23" s="228"/>
    </row>
    <row r="24" spans="1:5" ht="16.5" customHeight="1">
      <c r="A24" s="86" t="s">
        <v>11</v>
      </c>
      <c r="B24" s="87">
        <f>SUM(B6:B22)</f>
        <v>100</v>
      </c>
      <c r="C24" s="88"/>
      <c r="D24" s="88"/>
      <c r="E24" s="88"/>
    </row>
    <row r="25" spans="1:5" ht="16.5" customHeight="1">
      <c r="A25" s="89" t="s">
        <v>32</v>
      </c>
      <c r="B25" s="90">
        <f>(B7+B9*0.1+B10*0.4+B11+B15+B16+B17+B19*0.5+(B22)*0.3)*100/E2</f>
        <v>62.15</v>
      </c>
      <c r="C25" s="91"/>
      <c r="D25" s="91"/>
      <c r="E25" s="91"/>
    </row>
    <row r="26" spans="1:5" ht="21.75" customHeight="1">
      <c r="A26" s="234" t="s">
        <v>45</v>
      </c>
      <c r="B26" s="234"/>
      <c r="C26" s="234" t="s">
        <v>12</v>
      </c>
      <c r="D26" s="234"/>
      <c r="E26" s="234"/>
    </row>
    <row r="27" spans="1:7" s="93" customFormat="1" ht="21.75" customHeight="1">
      <c r="A27" s="222" t="s">
        <v>33</v>
      </c>
      <c r="B27" s="222"/>
      <c r="C27" s="222"/>
      <c r="D27" s="222"/>
      <c r="E27" s="222"/>
      <c r="F27" s="92"/>
      <c r="G27" s="92"/>
    </row>
    <row r="28" spans="1:7" s="93" customFormat="1" ht="39" customHeight="1">
      <c r="A28" s="94" t="s">
        <v>13</v>
      </c>
      <c r="B28" s="220" t="s">
        <v>47</v>
      </c>
      <c r="C28" s="221"/>
      <c r="D28" s="242" t="s">
        <v>14</v>
      </c>
      <c r="E28" s="221"/>
      <c r="F28" s="95"/>
      <c r="G28" s="96"/>
    </row>
    <row r="29" spans="1:7" s="93" customFormat="1" ht="18" customHeight="1">
      <c r="A29" s="97" t="s">
        <v>4</v>
      </c>
      <c r="B29" s="211" t="s">
        <v>34</v>
      </c>
      <c r="C29" s="212"/>
      <c r="D29" s="241" t="s">
        <v>2</v>
      </c>
      <c r="E29" s="212"/>
      <c r="F29" s="95"/>
      <c r="G29" s="96"/>
    </row>
    <row r="30" spans="1:7" s="93" customFormat="1" ht="18" customHeight="1">
      <c r="A30" s="97" t="s">
        <v>35</v>
      </c>
      <c r="B30" s="211" t="s">
        <v>36</v>
      </c>
      <c r="C30" s="212"/>
      <c r="D30" s="241"/>
      <c r="E30" s="212"/>
      <c r="F30" s="95"/>
      <c r="G30" s="96"/>
    </row>
    <row r="31" spans="1:7" s="93" customFormat="1" ht="18" customHeight="1">
      <c r="A31" s="97" t="s">
        <v>16</v>
      </c>
      <c r="B31" s="213" t="s">
        <v>37</v>
      </c>
      <c r="C31" s="214"/>
      <c r="D31" s="241" t="s">
        <v>3</v>
      </c>
      <c r="E31" s="212"/>
      <c r="F31" s="95"/>
      <c r="G31" s="96"/>
    </row>
    <row r="32" spans="1:7" s="93" customFormat="1" ht="30" customHeight="1">
      <c r="A32" s="98" t="s">
        <v>38</v>
      </c>
      <c r="B32" s="213" t="s">
        <v>81</v>
      </c>
      <c r="C32" s="214"/>
      <c r="D32" s="241"/>
      <c r="E32" s="212"/>
      <c r="F32" s="95"/>
      <c r="G32" s="96"/>
    </row>
    <row r="33" spans="1:7" s="93" customFormat="1" ht="18" customHeight="1">
      <c r="A33" s="97" t="s">
        <v>17</v>
      </c>
      <c r="B33" s="213" t="s">
        <v>40</v>
      </c>
      <c r="C33" s="214"/>
      <c r="D33" s="241"/>
      <c r="E33" s="212"/>
      <c r="F33" s="95"/>
      <c r="G33" s="96"/>
    </row>
    <row r="34" spans="1:7" s="93" customFormat="1" ht="30" customHeight="1">
      <c r="A34" s="98" t="s">
        <v>41</v>
      </c>
      <c r="B34" s="213" t="s">
        <v>42</v>
      </c>
      <c r="C34" s="214"/>
      <c r="D34" s="241" t="s">
        <v>2</v>
      </c>
      <c r="E34" s="212"/>
      <c r="F34" s="95"/>
      <c r="G34" s="96"/>
    </row>
    <row r="35" spans="1:6" s="93" customFormat="1" ht="24" customHeight="1">
      <c r="A35" s="210" t="s">
        <v>15</v>
      </c>
      <c r="B35" s="210"/>
      <c r="C35" s="99"/>
      <c r="D35" s="100" t="s">
        <v>19</v>
      </c>
      <c r="E35" s="24" t="s">
        <v>157</v>
      </c>
      <c r="F35" s="102"/>
    </row>
  </sheetData>
  <sheetProtection selectLockedCells="1"/>
  <mergeCells count="27">
    <mergeCell ref="D34:E34"/>
    <mergeCell ref="A35:B35"/>
    <mergeCell ref="B29:C29"/>
    <mergeCell ref="B30:C30"/>
    <mergeCell ref="B33:C33"/>
    <mergeCell ref="B34:C34"/>
    <mergeCell ref="B31:C31"/>
    <mergeCell ref="B32:C32"/>
    <mergeCell ref="D33:E33"/>
    <mergeCell ref="D31:E31"/>
    <mergeCell ref="D32:E32"/>
    <mergeCell ref="A1:E1"/>
    <mergeCell ref="B28:C28"/>
    <mergeCell ref="A27:E27"/>
    <mergeCell ref="A12:E12"/>
    <mergeCell ref="A18:E18"/>
    <mergeCell ref="A23:E23"/>
    <mergeCell ref="A3:C3"/>
    <mergeCell ref="B2:C2"/>
    <mergeCell ref="D28:E28"/>
    <mergeCell ref="D29:E29"/>
    <mergeCell ref="D30:E30"/>
    <mergeCell ref="A26:B26"/>
    <mergeCell ref="D4:E4"/>
    <mergeCell ref="B4:C4"/>
    <mergeCell ref="A8:E8"/>
    <mergeCell ref="C26:E26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3"/>
  </sheetPr>
  <dimension ref="A1:G35"/>
  <sheetViews>
    <sheetView showGridLines="0" zoomScale="75" zoomScaleNormal="75" zoomScalePageLayoutView="0" workbookViewId="0" topLeftCell="A1">
      <selection activeCell="B7" sqref="B7"/>
    </sheetView>
  </sheetViews>
  <sheetFormatPr defaultColWidth="9.00390625" defaultRowHeight="12.75"/>
  <cols>
    <col min="1" max="1" width="34.25390625" style="63" customWidth="1"/>
    <col min="2" max="2" width="14.75390625" style="63" customWidth="1"/>
    <col min="3" max="3" width="14.125" style="63" customWidth="1"/>
    <col min="4" max="4" width="13.375" style="63" customWidth="1"/>
    <col min="5" max="5" width="14.75390625" style="63" customWidth="1"/>
    <col min="6" max="16384" width="9.125" style="63" customWidth="1"/>
  </cols>
  <sheetData>
    <row r="1" spans="1:5" ht="39" customHeight="1">
      <c r="A1" s="218" t="s">
        <v>144</v>
      </c>
      <c r="B1" s="219"/>
      <c r="C1" s="219"/>
      <c r="D1" s="219"/>
      <c r="E1" s="219"/>
    </row>
    <row r="2" spans="1:5" ht="15" customHeight="1">
      <c r="A2" s="64" t="s">
        <v>28</v>
      </c>
      <c r="B2" s="232">
        <f ca="1">TODAY()</f>
        <v>43794</v>
      </c>
      <c r="C2" s="233"/>
      <c r="D2" s="65" t="s">
        <v>7</v>
      </c>
      <c r="E2" s="66">
        <v>2000</v>
      </c>
    </row>
    <row r="3" spans="1:5" ht="15.75" customHeight="1">
      <c r="A3" s="229" t="s">
        <v>29</v>
      </c>
      <c r="B3" s="230"/>
      <c r="C3" s="231"/>
      <c r="D3" s="64" t="s">
        <v>21</v>
      </c>
      <c r="E3" s="66"/>
    </row>
    <row r="4" spans="1:5" ht="15.75" customHeight="1">
      <c r="A4" s="103" t="s">
        <v>54</v>
      </c>
      <c r="B4" s="209" t="s">
        <v>55</v>
      </c>
      <c r="C4" s="209"/>
      <c r="D4" s="209" t="s">
        <v>20</v>
      </c>
      <c r="E4" s="209"/>
    </row>
    <row r="5" spans="1:5" ht="33.75" customHeight="1">
      <c r="A5" s="68" t="s">
        <v>8</v>
      </c>
      <c r="B5" s="68" t="s">
        <v>5</v>
      </c>
      <c r="C5" s="68" t="s">
        <v>9</v>
      </c>
      <c r="D5" s="68" t="s">
        <v>6</v>
      </c>
      <c r="E5" s="68" t="s">
        <v>10</v>
      </c>
    </row>
    <row r="6" spans="1:5" ht="16.5" customHeight="1">
      <c r="A6" s="69" t="s">
        <v>0</v>
      </c>
      <c r="B6" s="70">
        <f>E2-SUM(B7:B23)</f>
        <v>620.8</v>
      </c>
      <c r="C6" s="71"/>
      <c r="D6" s="71"/>
      <c r="E6" s="71"/>
    </row>
    <row r="7" spans="1:5" ht="16.5" customHeight="1">
      <c r="A7" s="72" t="str">
        <f>Сырьё!B16</f>
        <v>Polycol  WP-20B</v>
      </c>
      <c r="B7" s="85">
        <f>E2*0.002</f>
        <v>4</v>
      </c>
      <c r="C7" s="74"/>
      <c r="D7" s="74"/>
      <c r="E7" s="74"/>
    </row>
    <row r="8" spans="1:5" ht="15.75" customHeight="1">
      <c r="A8" s="215" t="s">
        <v>90</v>
      </c>
      <c r="B8" s="216"/>
      <c r="C8" s="216"/>
      <c r="D8" s="216"/>
      <c r="E8" s="217"/>
    </row>
    <row r="9" spans="1:5" ht="16.5" customHeight="1">
      <c r="A9" s="69" t="s">
        <v>30</v>
      </c>
      <c r="B9" s="70">
        <f>E2*0.01</f>
        <v>20</v>
      </c>
      <c r="C9" s="71"/>
      <c r="D9" s="71"/>
      <c r="E9" s="71"/>
    </row>
    <row r="10" spans="1:5" ht="16.5" customHeight="1">
      <c r="A10" s="75" t="str">
        <f>Сырьё!B5</f>
        <v>Диспергатор Opotan N4045</v>
      </c>
      <c r="B10" s="76">
        <f>E2*0.0015</f>
        <v>3</v>
      </c>
      <c r="C10" s="77"/>
      <c r="D10" s="77"/>
      <c r="E10" s="77"/>
    </row>
    <row r="11" spans="1:5" ht="16.5" customHeight="1">
      <c r="A11" s="75" t="s">
        <v>52</v>
      </c>
      <c r="B11" s="76">
        <f>E2*0.0001</f>
        <v>0.2</v>
      </c>
      <c r="C11" s="77"/>
      <c r="D11" s="77"/>
      <c r="E11" s="77"/>
    </row>
    <row r="12" spans="1:5" ht="17.25" customHeight="1">
      <c r="A12" s="223" t="s">
        <v>86</v>
      </c>
      <c r="B12" s="224"/>
      <c r="C12" s="224"/>
      <c r="D12" s="224"/>
      <c r="E12" s="225"/>
    </row>
    <row r="13" spans="1:5" ht="17.25" customHeight="1">
      <c r="A13" s="75" t="s">
        <v>159</v>
      </c>
      <c r="B13" s="76">
        <f>E2*0.005</f>
        <v>10</v>
      </c>
      <c r="C13" s="77"/>
      <c r="D13" s="77"/>
      <c r="E13" s="77"/>
    </row>
    <row r="14" spans="1:5" ht="16.5" customHeight="1">
      <c r="A14" s="69" t="s">
        <v>83</v>
      </c>
      <c r="B14" s="70">
        <f>E2*0.0005</f>
        <v>1</v>
      </c>
      <c r="C14" s="71"/>
      <c r="D14" s="71"/>
      <c r="E14" s="71"/>
    </row>
    <row r="15" spans="1:5" ht="16.5" customHeight="1">
      <c r="A15" s="69" t="s">
        <v>141</v>
      </c>
      <c r="B15" s="70">
        <f>E2*0.02</f>
        <v>40</v>
      </c>
      <c r="C15" s="71"/>
      <c r="D15" s="71"/>
      <c r="E15" s="71"/>
    </row>
    <row r="16" spans="1:5" ht="16.5" customHeight="1">
      <c r="A16" s="75" t="str">
        <f>Сырьё!B9</f>
        <v>Omyacarb 2-UR</v>
      </c>
      <c r="B16" s="76">
        <f>E2*0.4</f>
        <v>800</v>
      </c>
      <c r="C16" s="77"/>
      <c r="D16" s="77"/>
      <c r="E16" s="77"/>
    </row>
    <row r="17" spans="1:5" ht="16.5" customHeight="1">
      <c r="A17" s="75" t="str">
        <f>Сырьё!B12</f>
        <v>Omyacarb 5UR</v>
      </c>
      <c r="B17" s="76">
        <f>E2*0.15</f>
        <v>300</v>
      </c>
      <c r="C17" s="77"/>
      <c r="D17" s="77"/>
      <c r="E17" s="77"/>
    </row>
    <row r="18" spans="1:5" ht="16.5" customHeight="1">
      <c r="A18" s="69" t="s">
        <v>166</v>
      </c>
      <c r="B18" s="70">
        <f>E2*0.007</f>
        <v>14</v>
      </c>
      <c r="C18" s="84"/>
      <c r="D18" s="84"/>
      <c r="E18" s="84"/>
    </row>
    <row r="19" spans="1:5" ht="17.25" customHeight="1">
      <c r="A19" s="215" t="s">
        <v>89</v>
      </c>
      <c r="B19" s="216"/>
      <c r="C19" s="216"/>
      <c r="D19" s="216"/>
      <c r="E19" s="217"/>
    </row>
    <row r="20" spans="1:5" ht="16.5" customHeight="1">
      <c r="A20" s="69" t="str">
        <f>Сырьё!B4</f>
        <v>DL-430</v>
      </c>
      <c r="B20" s="70">
        <f>E2*0.09</f>
        <v>180</v>
      </c>
      <c r="C20" s="84"/>
      <c r="D20" s="84"/>
      <c r="E20" s="84"/>
    </row>
    <row r="21" spans="1:5" ht="16.5" customHeight="1">
      <c r="A21" s="75" t="str">
        <f>'[3]Сырьё'!$B$9</f>
        <v>Консервант Acticide FI</v>
      </c>
      <c r="B21" s="76">
        <f>E2*0.002</f>
        <v>4</v>
      </c>
      <c r="C21" s="77"/>
      <c r="D21" s="77"/>
      <c r="E21" s="77"/>
    </row>
    <row r="22" spans="1:5" ht="15.75" customHeight="1">
      <c r="A22" s="75" t="s">
        <v>61</v>
      </c>
      <c r="B22" s="76">
        <f>E2*0.0005</f>
        <v>1</v>
      </c>
      <c r="C22" s="77"/>
      <c r="D22" s="77"/>
      <c r="E22" s="77"/>
    </row>
    <row r="23" spans="1:5" ht="16.5" customHeight="1">
      <c r="A23" s="75" t="str">
        <f>'[3]Сырьё'!$B$7</f>
        <v>Пеногаситель Serdas 7015</v>
      </c>
      <c r="B23" s="76">
        <f>E2*0.001</f>
        <v>2</v>
      </c>
      <c r="C23" s="77"/>
      <c r="D23" s="77"/>
      <c r="E23" s="77"/>
    </row>
    <row r="24" spans="1:5" ht="16.5" customHeight="1">
      <c r="A24" s="86" t="s">
        <v>11</v>
      </c>
      <c r="B24" s="87">
        <f>SUM(B6:B23)</f>
        <v>2000</v>
      </c>
      <c r="C24" s="88"/>
      <c r="D24" s="88"/>
      <c r="E24" s="88"/>
    </row>
    <row r="25" spans="1:5" ht="16.5" customHeight="1">
      <c r="A25" s="89" t="s">
        <v>32</v>
      </c>
      <c r="B25" s="90">
        <f>(B7+B9*0.1+B10*0.4+B11+B15+B16+B17+B20*0.5+(B23)*0.3)*100/E2</f>
        <v>61.9</v>
      </c>
      <c r="C25" s="91"/>
      <c r="D25" s="91"/>
      <c r="E25" s="91"/>
    </row>
    <row r="26" spans="1:5" ht="21.75" customHeight="1">
      <c r="A26" s="234" t="s">
        <v>45</v>
      </c>
      <c r="B26" s="234"/>
      <c r="C26" s="234" t="s">
        <v>12</v>
      </c>
      <c r="D26" s="234"/>
      <c r="E26" s="234"/>
    </row>
    <row r="27" spans="1:7" s="93" customFormat="1" ht="21.75" customHeight="1">
      <c r="A27" s="222" t="s">
        <v>33</v>
      </c>
      <c r="B27" s="222"/>
      <c r="C27" s="222"/>
      <c r="D27" s="222"/>
      <c r="E27" s="222"/>
      <c r="F27" s="92"/>
      <c r="G27" s="92"/>
    </row>
    <row r="28" spans="1:7" s="93" customFormat="1" ht="39" customHeight="1">
      <c r="A28" s="94" t="s">
        <v>13</v>
      </c>
      <c r="B28" s="220" t="s">
        <v>47</v>
      </c>
      <c r="C28" s="221"/>
      <c r="D28" s="242" t="s">
        <v>14</v>
      </c>
      <c r="E28" s="221"/>
      <c r="F28" s="95"/>
      <c r="G28" s="96"/>
    </row>
    <row r="29" spans="1:7" s="93" customFormat="1" ht="18" customHeight="1">
      <c r="A29" s="97" t="s">
        <v>4</v>
      </c>
      <c r="B29" s="211" t="s">
        <v>34</v>
      </c>
      <c r="C29" s="212"/>
      <c r="D29" s="241" t="s">
        <v>2</v>
      </c>
      <c r="E29" s="212"/>
      <c r="F29" s="95"/>
      <c r="G29" s="96"/>
    </row>
    <row r="30" spans="1:7" s="93" customFormat="1" ht="18" customHeight="1">
      <c r="A30" s="97" t="s">
        <v>35</v>
      </c>
      <c r="B30" s="211" t="s">
        <v>36</v>
      </c>
      <c r="C30" s="212"/>
      <c r="D30" s="241"/>
      <c r="E30" s="212"/>
      <c r="F30" s="95"/>
      <c r="G30" s="96"/>
    </row>
    <row r="31" spans="1:7" s="93" customFormat="1" ht="18" customHeight="1">
      <c r="A31" s="97" t="s">
        <v>16</v>
      </c>
      <c r="B31" s="213" t="s">
        <v>37</v>
      </c>
      <c r="C31" s="214"/>
      <c r="D31" s="241" t="s">
        <v>3</v>
      </c>
      <c r="E31" s="212"/>
      <c r="F31" s="95"/>
      <c r="G31" s="96"/>
    </row>
    <row r="32" spans="1:7" s="93" customFormat="1" ht="30" customHeight="1">
      <c r="A32" s="98" t="s">
        <v>38</v>
      </c>
      <c r="B32" s="213" t="s">
        <v>81</v>
      </c>
      <c r="C32" s="214"/>
      <c r="D32" s="241"/>
      <c r="E32" s="212"/>
      <c r="F32" s="95"/>
      <c r="G32" s="96"/>
    </row>
    <row r="33" spans="1:7" s="93" customFormat="1" ht="18" customHeight="1">
      <c r="A33" s="97" t="s">
        <v>17</v>
      </c>
      <c r="B33" s="213" t="s">
        <v>40</v>
      </c>
      <c r="C33" s="214"/>
      <c r="D33" s="241"/>
      <c r="E33" s="212"/>
      <c r="F33" s="95"/>
      <c r="G33" s="96"/>
    </row>
    <row r="34" spans="1:7" s="93" customFormat="1" ht="30" customHeight="1">
      <c r="A34" s="98" t="s">
        <v>41</v>
      </c>
      <c r="B34" s="213" t="s">
        <v>42</v>
      </c>
      <c r="C34" s="214"/>
      <c r="D34" s="241" t="s">
        <v>2</v>
      </c>
      <c r="E34" s="212"/>
      <c r="F34" s="95"/>
      <c r="G34" s="96"/>
    </row>
    <row r="35" spans="1:6" s="93" customFormat="1" ht="24" customHeight="1">
      <c r="A35" s="210" t="s">
        <v>15</v>
      </c>
      <c r="B35" s="210"/>
      <c r="C35" s="99"/>
      <c r="D35" s="100" t="s">
        <v>19</v>
      </c>
      <c r="E35" s="24" t="s">
        <v>167</v>
      </c>
      <c r="F35" s="102"/>
    </row>
  </sheetData>
  <sheetProtection selectLockedCells="1"/>
  <mergeCells count="26">
    <mergeCell ref="D28:E28"/>
    <mergeCell ref="D29:E29"/>
    <mergeCell ref="D30:E30"/>
    <mergeCell ref="D33:E33"/>
    <mergeCell ref="D31:E31"/>
    <mergeCell ref="D32:E32"/>
    <mergeCell ref="A1:E1"/>
    <mergeCell ref="B28:C28"/>
    <mergeCell ref="A27:E27"/>
    <mergeCell ref="A12:E12"/>
    <mergeCell ref="A19:E19"/>
    <mergeCell ref="A3:C3"/>
    <mergeCell ref="B2:C2"/>
    <mergeCell ref="A26:B26"/>
    <mergeCell ref="D4:E4"/>
    <mergeCell ref="B4:C4"/>
    <mergeCell ref="A8:E8"/>
    <mergeCell ref="C26:E26"/>
    <mergeCell ref="A35:B35"/>
    <mergeCell ref="B29:C29"/>
    <mergeCell ref="B30:C30"/>
    <mergeCell ref="B33:C33"/>
    <mergeCell ref="B34:C34"/>
    <mergeCell ref="B31:C31"/>
    <mergeCell ref="B32:C32"/>
    <mergeCell ref="D34:E34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J35"/>
  <sheetViews>
    <sheetView showGridLines="0" zoomScale="75" zoomScaleNormal="75" zoomScalePageLayoutView="0" workbookViewId="0" topLeftCell="A1">
      <selection activeCell="M10" sqref="M10"/>
    </sheetView>
  </sheetViews>
  <sheetFormatPr defaultColWidth="9.00390625" defaultRowHeight="12.75"/>
  <cols>
    <col min="1" max="1" width="33.875" style="63" customWidth="1"/>
    <col min="2" max="2" width="11.25390625" style="63" customWidth="1"/>
    <col min="3" max="3" width="13.625" style="63" customWidth="1"/>
    <col min="4" max="5" width="14.75390625" style="63" customWidth="1"/>
    <col min="6" max="16384" width="9.125" style="63" customWidth="1"/>
  </cols>
  <sheetData>
    <row r="1" spans="1:5" ht="36" customHeight="1">
      <c r="A1" s="218" t="s">
        <v>143</v>
      </c>
      <c r="B1" s="219"/>
      <c r="C1" s="219"/>
      <c r="D1" s="219"/>
      <c r="E1" s="219"/>
    </row>
    <row r="2" spans="1:5" ht="18.75" customHeight="1">
      <c r="A2" s="64" t="s">
        <v>28</v>
      </c>
      <c r="B2" s="251" t="s">
        <v>181</v>
      </c>
      <c r="C2" s="252"/>
      <c r="D2" s="65" t="s">
        <v>7</v>
      </c>
      <c r="E2" s="66">
        <v>2000</v>
      </c>
    </row>
    <row r="3" spans="1:5" ht="24" customHeight="1">
      <c r="A3" s="229" t="s">
        <v>29</v>
      </c>
      <c r="B3" s="230"/>
      <c r="C3" s="231"/>
      <c r="D3" s="64" t="s">
        <v>21</v>
      </c>
      <c r="E3" s="66"/>
    </row>
    <row r="4" spans="1:5" ht="24" customHeight="1">
      <c r="A4" s="103" t="s">
        <v>54</v>
      </c>
      <c r="B4" s="209" t="s">
        <v>55</v>
      </c>
      <c r="C4" s="209"/>
      <c r="D4" s="209" t="s">
        <v>20</v>
      </c>
      <c r="E4" s="209"/>
    </row>
    <row r="5" spans="1:5" ht="45.75" customHeight="1">
      <c r="A5" s="68" t="s">
        <v>8</v>
      </c>
      <c r="B5" s="68" t="s">
        <v>5</v>
      </c>
      <c r="C5" s="68" t="s">
        <v>9</v>
      </c>
      <c r="D5" s="68" t="s">
        <v>6</v>
      </c>
      <c r="E5" s="68" t="s">
        <v>10</v>
      </c>
    </row>
    <row r="6" spans="1:5" ht="16.5" customHeight="1">
      <c r="A6" s="69" t="s">
        <v>0</v>
      </c>
      <c r="B6" s="70">
        <f>E2-SUM(B7:B22)</f>
        <v>729.4000000000001</v>
      </c>
      <c r="C6" s="71"/>
      <c r="D6" s="71"/>
      <c r="E6" s="71"/>
    </row>
    <row r="7" spans="1:5" ht="16.5" customHeight="1">
      <c r="A7" s="72" t="str">
        <f>Сырьё!B27</f>
        <v>Natrosol 250 HHBR</v>
      </c>
      <c r="B7" s="85">
        <f>E2*0.0052</f>
        <v>10.4</v>
      </c>
      <c r="C7" s="74"/>
      <c r="D7" s="74"/>
      <c r="E7" s="74"/>
    </row>
    <row r="8" spans="1:5" ht="15.75" customHeight="1">
      <c r="A8" s="215" t="s">
        <v>90</v>
      </c>
      <c r="B8" s="216"/>
      <c r="C8" s="216"/>
      <c r="D8" s="216"/>
      <c r="E8" s="217"/>
    </row>
    <row r="9" spans="1:5" ht="16.5" customHeight="1">
      <c r="A9" s="69" t="s">
        <v>30</v>
      </c>
      <c r="B9" s="70">
        <f>E2*0.015</f>
        <v>30</v>
      </c>
      <c r="C9" s="71"/>
      <c r="D9" s="71"/>
      <c r="E9" s="71"/>
    </row>
    <row r="10" spans="1:5" ht="16.5" customHeight="1">
      <c r="A10" s="75" t="str">
        <f>Сырьё!B5</f>
        <v>Диспергатор Opotan N4045</v>
      </c>
      <c r="B10" s="76">
        <f>E2*0.0015</f>
        <v>3</v>
      </c>
      <c r="C10" s="77"/>
      <c r="D10" s="77"/>
      <c r="E10" s="77"/>
    </row>
    <row r="11" spans="1:5" ht="16.5" customHeight="1">
      <c r="A11" s="75" t="s">
        <v>52</v>
      </c>
      <c r="B11" s="76">
        <f>E2*0.0001</f>
        <v>0.2</v>
      </c>
      <c r="C11" s="77"/>
      <c r="D11" s="77"/>
      <c r="E11" s="77"/>
    </row>
    <row r="12" spans="1:5" ht="15.75" customHeight="1">
      <c r="A12" s="223" t="s">
        <v>86</v>
      </c>
      <c r="B12" s="224"/>
      <c r="C12" s="224"/>
      <c r="D12" s="224"/>
      <c r="E12" s="225"/>
    </row>
    <row r="13" spans="1:5" ht="15.75" customHeight="1">
      <c r="A13" s="75" t="s">
        <v>160</v>
      </c>
      <c r="B13" s="85">
        <f>E2*0.005</f>
        <v>10</v>
      </c>
      <c r="C13" s="124"/>
      <c r="D13" s="124"/>
      <c r="E13" s="125"/>
    </row>
    <row r="14" spans="1:5" ht="16.5" customHeight="1">
      <c r="A14" s="69" t="s">
        <v>168</v>
      </c>
      <c r="B14" s="70">
        <f>E2*0.015</f>
        <v>30</v>
      </c>
      <c r="C14" s="71"/>
      <c r="D14" s="71"/>
      <c r="E14" s="71"/>
    </row>
    <row r="15" spans="1:5" ht="16.5" customHeight="1">
      <c r="A15" s="75" t="str">
        <f>Сырьё!B9</f>
        <v>Omyacarb 2-UR</v>
      </c>
      <c r="B15" s="76">
        <f>E2*0.4</f>
        <v>800</v>
      </c>
      <c r="C15" s="77"/>
      <c r="D15" s="77"/>
      <c r="E15" s="77"/>
    </row>
    <row r="16" spans="1:5" ht="16.5" customHeight="1">
      <c r="A16" s="75" t="str">
        <f>Сырьё!B12</f>
        <v>Omyacarb 5UR</v>
      </c>
      <c r="B16" s="85">
        <f>E2*0.15</f>
        <v>300</v>
      </c>
      <c r="C16" s="74"/>
      <c r="D16" s="74"/>
      <c r="E16" s="74"/>
    </row>
    <row r="17" spans="1:5" ht="17.25" customHeight="1">
      <c r="A17" s="215" t="s">
        <v>89</v>
      </c>
      <c r="B17" s="216"/>
      <c r="C17" s="216"/>
      <c r="D17" s="216"/>
      <c r="E17" s="217"/>
    </row>
    <row r="18" spans="1:5" ht="16.5" customHeight="1">
      <c r="A18" s="106" t="str">
        <f>Сырьё!B2</f>
        <v>DL-430</v>
      </c>
      <c r="B18" s="70">
        <f>E2*0.03</f>
        <v>60</v>
      </c>
      <c r="C18" s="84"/>
      <c r="D18" s="84"/>
      <c r="E18" s="84"/>
    </row>
    <row r="19" spans="1:5" ht="16.5" customHeight="1">
      <c r="A19" s="122" t="s">
        <v>175</v>
      </c>
      <c r="B19" s="70">
        <f>E2*0.01</f>
        <v>20</v>
      </c>
      <c r="C19" s="123"/>
      <c r="D19" s="123"/>
      <c r="E19" s="123"/>
    </row>
    <row r="20" spans="1:5" ht="16.5" customHeight="1">
      <c r="A20" s="75" t="str">
        <f>'[3]Сырьё'!$B$9</f>
        <v>Консервант Acticide FI</v>
      </c>
      <c r="B20" s="76">
        <f>E2*0.002</f>
        <v>4</v>
      </c>
      <c r="C20" s="77"/>
      <c r="D20" s="77"/>
      <c r="E20" s="77"/>
    </row>
    <row r="21" spans="1:5" ht="15.75" customHeight="1">
      <c r="A21" s="75" t="s">
        <v>61</v>
      </c>
      <c r="B21" s="76">
        <f>E2*0.0005</f>
        <v>1</v>
      </c>
      <c r="C21" s="77"/>
      <c r="D21" s="77"/>
      <c r="E21" s="77"/>
    </row>
    <row r="22" spans="1:5" s="104" customFormat="1" ht="16.5" customHeight="1">
      <c r="A22" s="75" t="s">
        <v>172</v>
      </c>
      <c r="B22" s="76">
        <f>E2*0.001</f>
        <v>2</v>
      </c>
      <c r="C22" s="77"/>
      <c r="D22" s="77"/>
      <c r="E22" s="77"/>
    </row>
    <row r="23" spans="1:5" ht="33" customHeight="1">
      <c r="A23" s="226" t="s">
        <v>92</v>
      </c>
      <c r="B23" s="227"/>
      <c r="C23" s="227"/>
      <c r="D23" s="227"/>
      <c r="E23" s="228"/>
    </row>
    <row r="24" spans="1:5" ht="16.5" customHeight="1">
      <c r="A24" s="86" t="s">
        <v>11</v>
      </c>
      <c r="B24" s="87">
        <f>SUM(B6:B22)</f>
        <v>2000</v>
      </c>
      <c r="C24" s="88"/>
      <c r="D24" s="88"/>
      <c r="E24" s="88"/>
    </row>
    <row r="25" spans="1:5" ht="13.5" customHeight="1">
      <c r="A25" s="89" t="s">
        <v>32</v>
      </c>
      <c r="B25" s="90">
        <f>(B7+B9*0.1+B10*0.4+B11+B14+B15+B16+B13*0.25+B18*0.5+(B22)*0.3)*100/E2</f>
        <v>58.894999999999996</v>
      </c>
      <c r="C25" s="91"/>
      <c r="D25" s="91"/>
      <c r="E25" s="91"/>
    </row>
    <row r="26" spans="1:5" ht="21.75" customHeight="1">
      <c r="A26" s="234" t="s">
        <v>45</v>
      </c>
      <c r="B26" s="234"/>
      <c r="C26" s="234" t="s">
        <v>12</v>
      </c>
      <c r="D26" s="234"/>
      <c r="E26" s="234"/>
    </row>
    <row r="27" spans="1:10" s="93" customFormat="1" ht="11.25" customHeight="1">
      <c r="A27" s="222" t="s">
        <v>33</v>
      </c>
      <c r="B27" s="222"/>
      <c r="C27" s="222"/>
      <c r="D27" s="222"/>
      <c r="E27" s="222"/>
      <c r="F27" s="92"/>
      <c r="G27" s="92"/>
      <c r="H27" s="92"/>
      <c r="I27" s="92"/>
      <c r="J27" s="92"/>
    </row>
    <row r="28" spans="1:10" s="93" customFormat="1" ht="42" customHeight="1">
      <c r="A28" s="94" t="s">
        <v>13</v>
      </c>
      <c r="B28" s="220" t="s">
        <v>47</v>
      </c>
      <c r="C28" s="221"/>
      <c r="D28" s="242" t="s">
        <v>14</v>
      </c>
      <c r="E28" s="221"/>
      <c r="F28" s="95"/>
      <c r="G28" s="96"/>
      <c r="H28" s="96"/>
      <c r="I28" s="96"/>
      <c r="J28" s="96"/>
    </row>
    <row r="29" spans="1:10" s="93" customFormat="1" ht="18.75" customHeight="1">
      <c r="A29" s="97" t="s">
        <v>4</v>
      </c>
      <c r="B29" s="211" t="s">
        <v>34</v>
      </c>
      <c r="C29" s="212"/>
      <c r="D29" s="241" t="s">
        <v>2</v>
      </c>
      <c r="E29" s="212"/>
      <c r="F29" s="95"/>
      <c r="G29" s="96"/>
      <c r="H29" s="96"/>
      <c r="I29" s="96"/>
      <c r="J29" s="96"/>
    </row>
    <row r="30" spans="1:10" s="93" customFormat="1" ht="18" customHeight="1">
      <c r="A30" s="97" t="s">
        <v>35</v>
      </c>
      <c r="B30" s="211" t="s">
        <v>36</v>
      </c>
      <c r="C30" s="212"/>
      <c r="D30" s="241"/>
      <c r="E30" s="212"/>
      <c r="F30" s="95"/>
      <c r="G30" s="96"/>
      <c r="H30" s="96"/>
      <c r="I30" s="96"/>
      <c r="J30" s="96"/>
    </row>
    <row r="31" spans="1:10" s="93" customFormat="1" ht="18" customHeight="1">
      <c r="A31" s="97" t="s">
        <v>16</v>
      </c>
      <c r="B31" s="213" t="s">
        <v>37</v>
      </c>
      <c r="C31" s="214"/>
      <c r="D31" s="241" t="s">
        <v>3</v>
      </c>
      <c r="E31" s="212"/>
      <c r="F31" s="95"/>
      <c r="G31" s="96"/>
      <c r="H31" s="96"/>
      <c r="I31" s="96"/>
      <c r="J31" s="96"/>
    </row>
    <row r="32" spans="1:10" s="93" customFormat="1" ht="30" customHeight="1">
      <c r="A32" s="98" t="s">
        <v>38</v>
      </c>
      <c r="B32" s="213" t="s">
        <v>81</v>
      </c>
      <c r="C32" s="214"/>
      <c r="D32" s="241"/>
      <c r="E32" s="212"/>
      <c r="F32" s="95"/>
      <c r="G32" s="96"/>
      <c r="H32" s="96"/>
      <c r="I32" s="96"/>
      <c r="J32" s="96"/>
    </row>
    <row r="33" spans="1:10" s="93" customFormat="1" ht="18" customHeight="1">
      <c r="A33" s="97" t="s">
        <v>17</v>
      </c>
      <c r="B33" s="213" t="s">
        <v>40</v>
      </c>
      <c r="C33" s="214"/>
      <c r="D33" s="241"/>
      <c r="E33" s="212"/>
      <c r="F33" s="95"/>
      <c r="G33" s="96"/>
      <c r="H33" s="96"/>
      <c r="I33" s="96"/>
      <c r="J33" s="96"/>
    </row>
    <row r="34" spans="1:10" s="93" customFormat="1" ht="30" customHeight="1">
      <c r="A34" s="98" t="s">
        <v>41</v>
      </c>
      <c r="B34" s="213" t="s">
        <v>42</v>
      </c>
      <c r="C34" s="214"/>
      <c r="D34" s="241" t="s">
        <v>2</v>
      </c>
      <c r="E34" s="212"/>
      <c r="F34" s="95"/>
      <c r="G34" s="96"/>
      <c r="H34" s="96"/>
      <c r="I34" s="96"/>
      <c r="J34" s="96"/>
    </row>
    <row r="35" spans="1:6" s="93" customFormat="1" ht="14.25" customHeight="1">
      <c r="A35" s="210" t="s">
        <v>15</v>
      </c>
      <c r="B35" s="210"/>
      <c r="C35" s="99"/>
      <c r="D35" s="100" t="s">
        <v>19</v>
      </c>
      <c r="E35" s="24" t="s">
        <v>161</v>
      </c>
      <c r="F35" s="102"/>
    </row>
  </sheetData>
  <sheetProtection selectLockedCells="1"/>
  <mergeCells count="27">
    <mergeCell ref="B4:C4"/>
    <mergeCell ref="C26:E26"/>
    <mergeCell ref="D29:E29"/>
    <mergeCell ref="D30:E30"/>
    <mergeCell ref="A26:B26"/>
    <mergeCell ref="A8:E8"/>
    <mergeCell ref="D4:E4"/>
    <mergeCell ref="D32:E32"/>
    <mergeCell ref="A1:E1"/>
    <mergeCell ref="B28:C28"/>
    <mergeCell ref="A27:E27"/>
    <mergeCell ref="A12:E12"/>
    <mergeCell ref="A17:E17"/>
    <mergeCell ref="A23:E23"/>
    <mergeCell ref="A3:C3"/>
    <mergeCell ref="B2:C2"/>
    <mergeCell ref="D28:E28"/>
    <mergeCell ref="D34:E34"/>
    <mergeCell ref="A35:B35"/>
    <mergeCell ref="B29:C29"/>
    <mergeCell ref="B30:C30"/>
    <mergeCell ref="B33:C33"/>
    <mergeCell ref="B34:C34"/>
    <mergeCell ref="B31:C31"/>
    <mergeCell ref="B32:C32"/>
    <mergeCell ref="D33:E33"/>
    <mergeCell ref="D31:E31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3"/>
  </sheetPr>
  <dimension ref="A1:G36"/>
  <sheetViews>
    <sheetView showGridLines="0" zoomScale="75" zoomScaleNormal="75" zoomScalePageLayoutView="0" workbookViewId="0" topLeftCell="A1">
      <selection activeCell="F5" sqref="F5"/>
    </sheetView>
  </sheetViews>
  <sheetFormatPr defaultColWidth="9.00390625" defaultRowHeight="12.75"/>
  <cols>
    <col min="1" max="1" width="33.875" style="63" customWidth="1"/>
    <col min="2" max="2" width="14.75390625" style="63" customWidth="1"/>
    <col min="3" max="3" width="13.125" style="63" customWidth="1"/>
    <col min="4" max="5" width="14.75390625" style="63" customWidth="1"/>
    <col min="6" max="16384" width="9.125" style="63" customWidth="1"/>
  </cols>
  <sheetData>
    <row r="1" spans="1:5" ht="45" customHeight="1">
      <c r="A1" s="218" t="s">
        <v>145</v>
      </c>
      <c r="B1" s="219"/>
      <c r="C1" s="219"/>
      <c r="D1" s="219"/>
      <c r="E1" s="219"/>
    </row>
    <row r="2" spans="1:5" ht="18.75" customHeight="1">
      <c r="A2" s="64" t="s">
        <v>28</v>
      </c>
      <c r="B2" s="251" t="s">
        <v>169</v>
      </c>
      <c r="C2" s="252"/>
      <c r="D2" s="65" t="s">
        <v>7</v>
      </c>
      <c r="E2" s="66">
        <v>2000</v>
      </c>
    </row>
    <row r="3" spans="1:5" ht="18.75" customHeight="1">
      <c r="A3" s="229" t="s">
        <v>29</v>
      </c>
      <c r="B3" s="230"/>
      <c r="C3" s="231"/>
      <c r="D3" s="64" t="s">
        <v>21</v>
      </c>
      <c r="E3" s="66"/>
    </row>
    <row r="4" spans="1:5" ht="18.75" customHeight="1">
      <c r="A4" s="67" t="s">
        <v>54</v>
      </c>
      <c r="B4" s="209" t="s">
        <v>55</v>
      </c>
      <c r="C4" s="209"/>
      <c r="D4" s="209" t="s">
        <v>20</v>
      </c>
      <c r="E4" s="209"/>
    </row>
    <row r="5" spans="1:5" ht="42" customHeight="1">
      <c r="A5" s="68" t="s">
        <v>8</v>
      </c>
      <c r="B5" s="68" t="s">
        <v>5</v>
      </c>
      <c r="C5" s="68" t="s">
        <v>9</v>
      </c>
      <c r="D5" s="68" t="s">
        <v>6</v>
      </c>
      <c r="E5" s="68" t="s">
        <v>10</v>
      </c>
    </row>
    <row r="6" spans="1:5" ht="15.75" customHeight="1">
      <c r="A6" s="69" t="s">
        <v>0</v>
      </c>
      <c r="B6" s="70">
        <f>E2-SUM(B7:B22)</f>
        <v>508.79999999999995</v>
      </c>
      <c r="C6" s="71"/>
      <c r="D6" s="71"/>
      <c r="E6" s="71"/>
    </row>
    <row r="7" spans="1:5" ht="15.75" customHeight="1">
      <c r="A7" s="72" t="str">
        <f>Сырьё!B16</f>
        <v>Polycol  WP-20B</v>
      </c>
      <c r="B7" s="85">
        <f>E2*0.0035</f>
        <v>7</v>
      </c>
      <c r="C7" s="74"/>
      <c r="D7" s="74"/>
      <c r="E7" s="74"/>
    </row>
    <row r="8" spans="1:5" ht="17.25" customHeight="1">
      <c r="A8" s="215" t="s">
        <v>90</v>
      </c>
      <c r="B8" s="216"/>
      <c r="C8" s="216"/>
      <c r="D8" s="216"/>
      <c r="E8" s="217"/>
    </row>
    <row r="9" spans="1:5" ht="15.75" customHeight="1">
      <c r="A9" s="69" t="s">
        <v>30</v>
      </c>
      <c r="B9" s="70">
        <f>E2*0.015</f>
        <v>30</v>
      </c>
      <c r="C9" s="71"/>
      <c r="D9" s="71"/>
      <c r="E9" s="71"/>
    </row>
    <row r="10" spans="1:5" ht="15.75" customHeight="1">
      <c r="A10" s="75" t="str">
        <f>Сырьё!B5</f>
        <v>Диспергатор Opotan N4045</v>
      </c>
      <c r="B10" s="76">
        <f>E2*0.0015</f>
        <v>3</v>
      </c>
      <c r="C10" s="77"/>
      <c r="D10" s="78"/>
      <c r="E10" s="77"/>
    </row>
    <row r="11" spans="1:5" ht="15.75" customHeight="1">
      <c r="A11" s="75" t="s">
        <v>52</v>
      </c>
      <c r="B11" s="79">
        <f>E2*0.0001</f>
        <v>0.2</v>
      </c>
      <c r="C11" s="77"/>
      <c r="D11" s="77"/>
      <c r="E11" s="77"/>
    </row>
    <row r="12" spans="1:5" ht="15.75" customHeight="1">
      <c r="A12" s="223" t="s">
        <v>86</v>
      </c>
      <c r="B12" s="224"/>
      <c r="C12" s="224"/>
      <c r="D12" s="224"/>
      <c r="E12" s="225"/>
    </row>
    <row r="13" spans="1:5" ht="15.75" customHeight="1">
      <c r="A13" s="75" t="s">
        <v>160</v>
      </c>
      <c r="B13" s="76">
        <f>E2*0.005</f>
        <v>10</v>
      </c>
      <c r="C13" s="77"/>
      <c r="D13" s="77"/>
      <c r="E13" s="77"/>
    </row>
    <row r="14" spans="1:5" ht="15.75" customHeight="1">
      <c r="A14" s="69" t="s">
        <v>83</v>
      </c>
      <c r="B14" s="70">
        <f>E2*0.0005</f>
        <v>1</v>
      </c>
      <c r="C14" s="71"/>
      <c r="D14" s="71"/>
      <c r="E14" s="71"/>
    </row>
    <row r="15" spans="1:5" ht="15.75" customHeight="1">
      <c r="A15" s="69" t="str">
        <f>Сырьё!B8</f>
        <v>Lomon  R996</v>
      </c>
      <c r="B15" s="70">
        <f>E2*0.03</f>
        <v>60</v>
      </c>
      <c r="C15" s="71"/>
      <c r="D15" s="71"/>
      <c r="E15" s="71"/>
    </row>
    <row r="16" spans="1:5" ht="15.75" customHeight="1">
      <c r="A16" s="75" t="str">
        <f>Сырьё!B9</f>
        <v>Omyacarb 2-UR</v>
      </c>
      <c r="B16" s="76">
        <f>E2*0.4</f>
        <v>800</v>
      </c>
      <c r="C16" s="77"/>
      <c r="D16" s="77"/>
      <c r="E16" s="77"/>
    </row>
    <row r="17" spans="1:5" ht="15.75" customHeight="1">
      <c r="A17" s="75" t="str">
        <f>Сырьё!B10</f>
        <v>Omyacarb 5UR</v>
      </c>
      <c r="B17" s="76">
        <f>E2*0.16</f>
        <v>320</v>
      </c>
      <c r="C17" s="77"/>
      <c r="D17" s="77"/>
      <c r="E17" s="77"/>
    </row>
    <row r="18" spans="1:5" ht="17.25" customHeight="1">
      <c r="A18" s="215" t="s">
        <v>89</v>
      </c>
      <c r="B18" s="216"/>
      <c r="C18" s="216"/>
      <c r="D18" s="216"/>
      <c r="E18" s="217"/>
    </row>
    <row r="19" spans="1:5" ht="15.75" customHeight="1">
      <c r="A19" s="69" t="str">
        <f>Сырьё!B4</f>
        <v>DL-430</v>
      </c>
      <c r="B19" s="70">
        <f>E2*0.126</f>
        <v>252</v>
      </c>
      <c r="C19" s="84"/>
      <c r="D19" s="84"/>
      <c r="E19" s="84"/>
    </row>
    <row r="20" spans="1:5" ht="15.75" customHeight="1">
      <c r="A20" s="75" t="str">
        <f>'[3]Сырьё'!$B$9</f>
        <v>Консервант Acticide FI</v>
      </c>
      <c r="B20" s="76">
        <f>E2*0.002</f>
        <v>4</v>
      </c>
      <c r="C20" s="77"/>
      <c r="D20" s="77"/>
      <c r="E20" s="77"/>
    </row>
    <row r="21" spans="1:5" ht="15.75" customHeight="1">
      <c r="A21" s="75" t="s">
        <v>61</v>
      </c>
      <c r="B21" s="76">
        <f>E2*0.0005</f>
        <v>1</v>
      </c>
      <c r="C21" s="77"/>
      <c r="D21" s="77"/>
      <c r="E21" s="77"/>
    </row>
    <row r="22" spans="1:5" ht="15.75" customHeight="1">
      <c r="A22" s="75" t="str">
        <f>'[3]Сырьё'!$B$7</f>
        <v>Пеногаситель Serdas 7015</v>
      </c>
      <c r="B22" s="76">
        <f>E2*0.0015</f>
        <v>3</v>
      </c>
      <c r="C22" s="77"/>
      <c r="D22" s="77"/>
      <c r="E22" s="77"/>
    </row>
    <row r="23" spans="1:5" ht="31.5" customHeight="1">
      <c r="A23" s="226" t="s">
        <v>92</v>
      </c>
      <c r="B23" s="227"/>
      <c r="C23" s="227"/>
      <c r="D23" s="227"/>
      <c r="E23" s="228"/>
    </row>
    <row r="24" spans="1:5" ht="15.75" customHeight="1">
      <c r="A24" s="86" t="s">
        <v>11</v>
      </c>
      <c r="B24" s="87">
        <f>SUM(B6:B22)</f>
        <v>2000</v>
      </c>
      <c r="C24" s="88"/>
      <c r="D24" s="88"/>
      <c r="E24" s="88"/>
    </row>
    <row r="25" spans="1:5" ht="18" customHeight="1">
      <c r="A25" s="89" t="s">
        <v>32</v>
      </c>
      <c r="B25" s="90">
        <f>(B7+B9*0.1+B10*0.4+B11+B15+B16+B17+B13*0.25+B19*0.5+(B22)*0.3)*100/E2</f>
        <v>66.04000000000002</v>
      </c>
      <c r="C25" s="91"/>
      <c r="D25" s="91"/>
      <c r="E25" s="91"/>
    </row>
    <row r="26" spans="1:5" ht="18" customHeight="1">
      <c r="A26" s="234" t="s">
        <v>45</v>
      </c>
      <c r="B26" s="234"/>
      <c r="C26" s="234" t="s">
        <v>12</v>
      </c>
      <c r="D26" s="234"/>
      <c r="E26" s="234"/>
    </row>
    <row r="27" spans="1:7" s="93" customFormat="1" ht="15.75" customHeight="1">
      <c r="A27" s="222" t="s">
        <v>33</v>
      </c>
      <c r="B27" s="222"/>
      <c r="C27" s="222"/>
      <c r="D27" s="222"/>
      <c r="E27" s="222"/>
      <c r="F27" s="92"/>
      <c r="G27" s="92"/>
    </row>
    <row r="28" spans="1:7" s="93" customFormat="1" ht="42" customHeight="1">
      <c r="A28" s="94" t="s">
        <v>13</v>
      </c>
      <c r="B28" s="220" t="s">
        <v>47</v>
      </c>
      <c r="C28" s="221"/>
      <c r="D28" s="242" t="s">
        <v>14</v>
      </c>
      <c r="E28" s="221"/>
      <c r="F28" s="95"/>
      <c r="G28" s="96"/>
    </row>
    <row r="29" spans="1:7" s="93" customFormat="1" ht="18" customHeight="1">
      <c r="A29" s="97" t="s">
        <v>4</v>
      </c>
      <c r="B29" s="211" t="s">
        <v>34</v>
      </c>
      <c r="C29" s="212"/>
      <c r="D29" s="241" t="s">
        <v>2</v>
      </c>
      <c r="E29" s="212"/>
      <c r="F29" s="95"/>
      <c r="G29" s="96"/>
    </row>
    <row r="30" spans="1:7" s="93" customFormat="1" ht="18" customHeight="1">
      <c r="A30" s="97" t="s">
        <v>35</v>
      </c>
      <c r="B30" s="211" t="s">
        <v>36</v>
      </c>
      <c r="C30" s="212"/>
      <c r="D30" s="241"/>
      <c r="E30" s="212"/>
      <c r="F30" s="95"/>
      <c r="G30" s="96"/>
    </row>
    <row r="31" spans="1:7" s="93" customFormat="1" ht="18" customHeight="1">
      <c r="A31" s="97" t="s">
        <v>16</v>
      </c>
      <c r="B31" s="213" t="s">
        <v>37</v>
      </c>
      <c r="C31" s="214"/>
      <c r="D31" s="241" t="s">
        <v>3</v>
      </c>
      <c r="E31" s="212"/>
      <c r="F31" s="95"/>
      <c r="G31" s="96"/>
    </row>
    <row r="32" spans="1:7" s="93" customFormat="1" ht="30" customHeight="1">
      <c r="A32" s="98" t="s">
        <v>38</v>
      </c>
      <c r="B32" s="213" t="s">
        <v>81</v>
      </c>
      <c r="C32" s="214"/>
      <c r="D32" s="241"/>
      <c r="E32" s="212"/>
      <c r="F32" s="95"/>
      <c r="G32" s="96"/>
    </row>
    <row r="33" spans="1:7" s="93" customFormat="1" ht="18" customHeight="1">
      <c r="A33" s="97" t="s">
        <v>17</v>
      </c>
      <c r="B33" s="213" t="s">
        <v>40</v>
      </c>
      <c r="C33" s="214"/>
      <c r="D33" s="241"/>
      <c r="E33" s="212"/>
      <c r="F33" s="95"/>
      <c r="G33" s="96"/>
    </row>
    <row r="34" spans="1:7" s="93" customFormat="1" ht="18" customHeight="1">
      <c r="A34" s="97" t="s">
        <v>162</v>
      </c>
      <c r="B34" s="213" t="s">
        <v>163</v>
      </c>
      <c r="C34" s="214"/>
      <c r="D34" s="120"/>
      <c r="E34" s="121"/>
      <c r="F34" s="95"/>
      <c r="G34" s="96"/>
    </row>
    <row r="35" spans="1:7" s="93" customFormat="1" ht="30" customHeight="1">
      <c r="A35" s="98" t="s">
        <v>41</v>
      </c>
      <c r="B35" s="213" t="s">
        <v>42</v>
      </c>
      <c r="C35" s="214"/>
      <c r="D35" s="241" t="s">
        <v>2</v>
      </c>
      <c r="E35" s="212"/>
      <c r="F35" s="95"/>
      <c r="G35" s="96"/>
    </row>
    <row r="36" spans="1:6" s="93" customFormat="1" ht="21" customHeight="1">
      <c r="A36" s="210" t="s">
        <v>15</v>
      </c>
      <c r="B36" s="210"/>
      <c r="C36" s="99"/>
      <c r="D36" s="100" t="s">
        <v>19</v>
      </c>
      <c r="E36" s="24" t="s">
        <v>161</v>
      </c>
      <c r="F36" s="102"/>
    </row>
  </sheetData>
  <sheetProtection selectLockedCells="1"/>
  <mergeCells count="28">
    <mergeCell ref="C26:E26"/>
    <mergeCell ref="D35:E35"/>
    <mergeCell ref="D28:E28"/>
    <mergeCell ref="D29:E29"/>
    <mergeCell ref="D30:E30"/>
    <mergeCell ref="D33:E33"/>
    <mergeCell ref="D31:E31"/>
    <mergeCell ref="D32:E32"/>
    <mergeCell ref="A1:E1"/>
    <mergeCell ref="B28:C28"/>
    <mergeCell ref="A27:E27"/>
    <mergeCell ref="A18:E18"/>
    <mergeCell ref="A23:E23"/>
    <mergeCell ref="A3:C3"/>
    <mergeCell ref="A26:B26"/>
    <mergeCell ref="A8:E8"/>
    <mergeCell ref="A12:E12"/>
    <mergeCell ref="D4:E4"/>
    <mergeCell ref="B2:C2"/>
    <mergeCell ref="B4:C4"/>
    <mergeCell ref="A36:B36"/>
    <mergeCell ref="B29:C29"/>
    <mergeCell ref="B30:C30"/>
    <mergeCell ref="B33:C33"/>
    <mergeCell ref="B35:C35"/>
    <mergeCell ref="B31:C31"/>
    <mergeCell ref="B32:C32"/>
    <mergeCell ref="B34:C34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3"/>
  </sheetPr>
  <dimension ref="A1:G36"/>
  <sheetViews>
    <sheetView showGridLines="0" zoomScale="75" zoomScaleNormal="75" zoomScalePageLayoutView="0" workbookViewId="0" topLeftCell="A7">
      <selection activeCell="E3" sqref="E3"/>
    </sheetView>
  </sheetViews>
  <sheetFormatPr defaultColWidth="9.00390625" defaultRowHeight="12.75"/>
  <cols>
    <col min="1" max="1" width="32.25390625" style="63" customWidth="1"/>
    <col min="2" max="2" width="14.75390625" style="63" customWidth="1"/>
    <col min="3" max="3" width="14.125" style="63" customWidth="1"/>
    <col min="4" max="4" width="14.75390625" style="63" customWidth="1"/>
    <col min="5" max="5" width="14.25390625" style="63" customWidth="1"/>
    <col min="6" max="16384" width="9.125" style="63" customWidth="1"/>
  </cols>
  <sheetData>
    <row r="1" spans="1:5" ht="45" customHeight="1">
      <c r="A1" s="218" t="s">
        <v>145</v>
      </c>
      <c r="B1" s="219"/>
      <c r="C1" s="219"/>
      <c r="D1" s="219"/>
      <c r="E1" s="219"/>
    </row>
    <row r="2" spans="1:5" ht="18.75" customHeight="1">
      <c r="A2" s="64" t="s">
        <v>28</v>
      </c>
      <c r="B2" s="232">
        <f ca="1">TODAY()</f>
        <v>43794</v>
      </c>
      <c r="C2" s="233"/>
      <c r="D2" s="65" t="s">
        <v>7</v>
      </c>
      <c r="E2" s="66">
        <v>2000</v>
      </c>
    </row>
    <row r="3" spans="1:5" ht="18.75" customHeight="1">
      <c r="A3" s="229" t="s">
        <v>29</v>
      </c>
      <c r="B3" s="230"/>
      <c r="C3" s="231"/>
      <c r="D3" s="64" t="s">
        <v>21</v>
      </c>
      <c r="E3" s="66"/>
    </row>
    <row r="4" spans="1:5" ht="18.75" customHeight="1">
      <c r="A4" s="67" t="s">
        <v>54</v>
      </c>
      <c r="B4" s="209" t="s">
        <v>55</v>
      </c>
      <c r="C4" s="209"/>
      <c r="D4" s="209" t="s">
        <v>20</v>
      </c>
      <c r="E4" s="209"/>
    </row>
    <row r="5" spans="1:5" ht="42" customHeight="1">
      <c r="A5" s="68" t="s">
        <v>8</v>
      </c>
      <c r="B5" s="68" t="s">
        <v>5</v>
      </c>
      <c r="C5" s="68" t="s">
        <v>9</v>
      </c>
      <c r="D5" s="68" t="s">
        <v>6</v>
      </c>
      <c r="E5" s="68" t="s">
        <v>10</v>
      </c>
    </row>
    <row r="6" spans="1:5" ht="15.75" customHeight="1">
      <c r="A6" s="69" t="s">
        <v>0</v>
      </c>
      <c r="B6" s="70">
        <f>E2-SUM(B7:B23)</f>
        <v>508.79999999999995</v>
      </c>
      <c r="C6" s="71"/>
      <c r="D6" s="71"/>
      <c r="E6" s="71"/>
    </row>
    <row r="7" spans="1:5" ht="15.75" customHeight="1">
      <c r="A7" s="72" t="str">
        <f>Сырьё!B16</f>
        <v>Polycol  WP-20B</v>
      </c>
      <c r="B7" s="85">
        <f>E2*0.0015</f>
        <v>3</v>
      </c>
      <c r="C7" s="74"/>
      <c r="D7" s="74"/>
      <c r="E7" s="74"/>
    </row>
    <row r="8" spans="1:5" ht="17.25" customHeight="1">
      <c r="A8" s="215" t="s">
        <v>90</v>
      </c>
      <c r="B8" s="216"/>
      <c r="C8" s="216"/>
      <c r="D8" s="216"/>
      <c r="E8" s="217"/>
    </row>
    <row r="9" spans="1:5" ht="15.75" customHeight="1">
      <c r="A9" s="69" t="s">
        <v>30</v>
      </c>
      <c r="B9" s="70">
        <f>E2*0.01</f>
        <v>20</v>
      </c>
      <c r="C9" s="71"/>
      <c r="D9" s="71"/>
      <c r="E9" s="71"/>
    </row>
    <row r="10" spans="1:5" ht="15.75" customHeight="1">
      <c r="A10" s="75" t="str">
        <f>Сырьё!B5</f>
        <v>Диспергатор Opotan N4045</v>
      </c>
      <c r="B10" s="76">
        <f>E2*0.0015</f>
        <v>3</v>
      </c>
      <c r="C10" s="77"/>
      <c r="D10" s="78"/>
      <c r="E10" s="77"/>
    </row>
    <row r="11" spans="1:5" ht="15.75" customHeight="1">
      <c r="A11" s="75" t="s">
        <v>52</v>
      </c>
      <c r="B11" s="79">
        <f>E2*0.0001</f>
        <v>0.2</v>
      </c>
      <c r="C11" s="77"/>
      <c r="D11" s="77"/>
      <c r="E11" s="77"/>
    </row>
    <row r="12" spans="1:5" ht="15.75" customHeight="1">
      <c r="A12" s="223" t="s">
        <v>86</v>
      </c>
      <c r="B12" s="224"/>
      <c r="C12" s="224"/>
      <c r="D12" s="224"/>
      <c r="E12" s="225"/>
    </row>
    <row r="13" spans="1:5" ht="15.75" customHeight="1">
      <c r="A13" s="75" t="s">
        <v>160</v>
      </c>
      <c r="B13" s="76">
        <f>E2*0.005</f>
        <v>10</v>
      </c>
      <c r="C13" s="77"/>
      <c r="D13" s="77"/>
      <c r="E13" s="77"/>
    </row>
    <row r="14" spans="1:5" ht="15.75" customHeight="1">
      <c r="A14" s="69" t="s">
        <v>83</v>
      </c>
      <c r="B14" s="70">
        <f>E2*0.0005</f>
        <v>1</v>
      </c>
      <c r="C14" s="71"/>
      <c r="D14" s="71"/>
      <c r="E14" s="71"/>
    </row>
    <row r="15" spans="1:5" ht="15.75" customHeight="1">
      <c r="A15" s="69" t="str">
        <f>Сырьё!B8</f>
        <v>Lomon  R996</v>
      </c>
      <c r="B15" s="70">
        <f>E2*0.03</f>
        <v>60</v>
      </c>
      <c r="C15" s="71"/>
      <c r="D15" s="71"/>
      <c r="E15" s="71"/>
    </row>
    <row r="16" spans="1:5" ht="15.75" customHeight="1">
      <c r="A16" s="75" t="str">
        <f>Сырьё!B9</f>
        <v>Omyacarb 2-UR</v>
      </c>
      <c r="B16" s="76">
        <f>E2*0.4</f>
        <v>800</v>
      </c>
      <c r="C16" s="77"/>
      <c r="D16" s="77"/>
      <c r="E16" s="77"/>
    </row>
    <row r="17" spans="1:5" ht="15.75" customHeight="1">
      <c r="A17" s="75" t="str">
        <f>Сырьё!B10</f>
        <v>Omyacarb 5UR</v>
      </c>
      <c r="B17" s="76">
        <f>E2*0.16</f>
        <v>320</v>
      </c>
      <c r="C17" s="77"/>
      <c r="D17" s="77"/>
      <c r="E17" s="77"/>
    </row>
    <row r="18" spans="1:5" ht="15.75" customHeight="1">
      <c r="A18" s="75" t="s">
        <v>165</v>
      </c>
      <c r="B18" s="76">
        <f>E2*0.007</f>
        <v>14</v>
      </c>
      <c r="C18" s="77"/>
      <c r="D18" s="77"/>
      <c r="E18" s="77"/>
    </row>
    <row r="19" spans="1:5" ht="15.75" customHeight="1">
      <c r="A19" s="75" t="str">
        <f>'[3]Сырьё'!$B$9</f>
        <v>Консервант Acticide FI</v>
      </c>
      <c r="B19" s="76">
        <f>E2*0.002</f>
        <v>4</v>
      </c>
      <c r="C19" s="77"/>
      <c r="D19" s="77"/>
      <c r="E19" s="77"/>
    </row>
    <row r="20" spans="1:5" ht="17.25" customHeight="1">
      <c r="A20" s="215" t="s">
        <v>89</v>
      </c>
      <c r="B20" s="216"/>
      <c r="C20" s="216"/>
      <c r="D20" s="216"/>
      <c r="E20" s="217"/>
    </row>
    <row r="21" spans="1:5" ht="15.75" customHeight="1">
      <c r="A21" s="69" t="str">
        <f>Сырьё!B4</f>
        <v>DL-430</v>
      </c>
      <c r="B21" s="70">
        <f>E2*0.126</f>
        <v>252</v>
      </c>
      <c r="C21" s="84"/>
      <c r="D21" s="84"/>
      <c r="E21" s="84"/>
    </row>
    <row r="22" spans="1:5" ht="15.75" customHeight="1">
      <c r="A22" s="75" t="str">
        <f>'[3]Сырьё'!$B$7</f>
        <v>Пеногаситель Serdas 7015</v>
      </c>
      <c r="B22" s="76">
        <f>E2*0.0015</f>
        <v>3</v>
      </c>
      <c r="C22" s="77"/>
      <c r="D22" s="77"/>
      <c r="E22" s="77"/>
    </row>
    <row r="23" spans="1:5" ht="15.75" customHeight="1">
      <c r="A23" s="75" t="s">
        <v>61</v>
      </c>
      <c r="B23" s="76">
        <f>E2*0.0005</f>
        <v>1</v>
      </c>
      <c r="C23" s="77"/>
      <c r="D23" s="77"/>
      <c r="E23" s="77"/>
    </row>
    <row r="24" spans="1:5" ht="15.75" customHeight="1">
      <c r="A24" s="86" t="s">
        <v>11</v>
      </c>
      <c r="B24" s="87">
        <f>SUM(B6:B23)</f>
        <v>2000</v>
      </c>
      <c r="C24" s="88"/>
      <c r="D24" s="88"/>
      <c r="E24" s="88"/>
    </row>
    <row r="25" spans="1:5" ht="18" customHeight="1">
      <c r="A25" s="89" t="s">
        <v>32</v>
      </c>
      <c r="B25" s="90">
        <f>(B7+B9*0.1+B10*0.45+B11+B15+B16+B17+B13*0.25+B21*0.5+(B22)*0.3)*100/E2</f>
        <v>65.7975</v>
      </c>
      <c r="C25" s="91"/>
      <c r="D25" s="91"/>
      <c r="E25" s="91"/>
    </row>
    <row r="26" spans="1:5" ht="18" customHeight="1">
      <c r="A26" s="234" t="s">
        <v>45</v>
      </c>
      <c r="B26" s="234"/>
      <c r="C26" s="234" t="s">
        <v>12</v>
      </c>
      <c r="D26" s="234"/>
      <c r="E26" s="234"/>
    </row>
    <row r="27" spans="1:7" s="93" customFormat="1" ht="15.75" customHeight="1">
      <c r="A27" s="222" t="s">
        <v>33</v>
      </c>
      <c r="B27" s="222"/>
      <c r="C27" s="222"/>
      <c r="D27" s="222"/>
      <c r="E27" s="222"/>
      <c r="F27" s="92"/>
      <c r="G27" s="92"/>
    </row>
    <row r="28" spans="1:7" s="93" customFormat="1" ht="42" customHeight="1">
      <c r="A28" s="94" t="s">
        <v>13</v>
      </c>
      <c r="B28" s="220" t="s">
        <v>47</v>
      </c>
      <c r="C28" s="221"/>
      <c r="D28" s="242" t="s">
        <v>14</v>
      </c>
      <c r="E28" s="221"/>
      <c r="F28" s="95"/>
      <c r="G28" s="96"/>
    </row>
    <row r="29" spans="1:7" s="93" customFormat="1" ht="18" customHeight="1">
      <c r="A29" s="97" t="s">
        <v>4</v>
      </c>
      <c r="B29" s="211" t="s">
        <v>34</v>
      </c>
      <c r="C29" s="212"/>
      <c r="D29" s="241" t="s">
        <v>2</v>
      </c>
      <c r="E29" s="212"/>
      <c r="F29" s="95"/>
      <c r="G29" s="96"/>
    </row>
    <row r="30" spans="1:7" s="93" customFormat="1" ht="18" customHeight="1">
      <c r="A30" s="97" t="s">
        <v>35</v>
      </c>
      <c r="B30" s="211" t="s">
        <v>36</v>
      </c>
      <c r="C30" s="212"/>
      <c r="D30" s="241"/>
      <c r="E30" s="212"/>
      <c r="F30" s="95"/>
      <c r="G30" s="96"/>
    </row>
    <row r="31" spans="1:7" s="93" customFormat="1" ht="18" customHeight="1">
      <c r="A31" s="97" t="s">
        <v>16</v>
      </c>
      <c r="B31" s="213" t="s">
        <v>37</v>
      </c>
      <c r="C31" s="214"/>
      <c r="D31" s="241" t="s">
        <v>3</v>
      </c>
      <c r="E31" s="212"/>
      <c r="F31" s="95"/>
      <c r="G31" s="96"/>
    </row>
    <row r="32" spans="1:7" s="93" customFormat="1" ht="30" customHeight="1">
      <c r="A32" s="98" t="s">
        <v>38</v>
      </c>
      <c r="B32" s="213" t="s">
        <v>81</v>
      </c>
      <c r="C32" s="214"/>
      <c r="D32" s="241"/>
      <c r="E32" s="212"/>
      <c r="F32" s="95"/>
      <c r="G32" s="96"/>
    </row>
    <row r="33" spans="1:7" s="93" customFormat="1" ht="18" customHeight="1">
      <c r="A33" s="97" t="s">
        <v>17</v>
      </c>
      <c r="B33" s="213" t="s">
        <v>40</v>
      </c>
      <c r="C33" s="214"/>
      <c r="D33" s="241"/>
      <c r="E33" s="212"/>
      <c r="F33" s="95"/>
      <c r="G33" s="96"/>
    </row>
    <row r="34" spans="1:7" s="93" customFormat="1" ht="18" customHeight="1">
      <c r="A34" s="97" t="s">
        <v>162</v>
      </c>
      <c r="B34" s="213" t="s">
        <v>163</v>
      </c>
      <c r="C34" s="214"/>
      <c r="D34" s="120"/>
      <c r="E34" s="121"/>
      <c r="F34" s="95"/>
      <c r="G34" s="96"/>
    </row>
    <row r="35" spans="1:7" s="93" customFormat="1" ht="30" customHeight="1">
      <c r="A35" s="98" t="s">
        <v>41</v>
      </c>
      <c r="B35" s="213" t="s">
        <v>42</v>
      </c>
      <c r="C35" s="214"/>
      <c r="D35" s="241" t="s">
        <v>2</v>
      </c>
      <c r="E35" s="212"/>
      <c r="F35" s="95"/>
      <c r="G35" s="96"/>
    </row>
    <row r="36" spans="1:6" s="93" customFormat="1" ht="21" customHeight="1">
      <c r="A36" s="210" t="s">
        <v>15</v>
      </c>
      <c r="B36" s="210"/>
      <c r="C36" s="99"/>
      <c r="D36" s="100" t="s">
        <v>19</v>
      </c>
      <c r="E36" s="24" t="s">
        <v>164</v>
      </c>
      <c r="F36" s="102"/>
    </row>
  </sheetData>
  <sheetProtection selectLockedCells="1"/>
  <mergeCells count="27">
    <mergeCell ref="B4:C4"/>
    <mergeCell ref="A36:B36"/>
    <mergeCell ref="B29:C29"/>
    <mergeCell ref="B30:C30"/>
    <mergeCell ref="B33:C33"/>
    <mergeCell ref="B35:C35"/>
    <mergeCell ref="B31:C31"/>
    <mergeCell ref="B32:C32"/>
    <mergeCell ref="C26:E26"/>
    <mergeCell ref="B34:C34"/>
    <mergeCell ref="A1:E1"/>
    <mergeCell ref="B28:C28"/>
    <mergeCell ref="A27:E27"/>
    <mergeCell ref="A20:E20"/>
    <mergeCell ref="A3:C3"/>
    <mergeCell ref="B2:C2"/>
    <mergeCell ref="A26:B26"/>
    <mergeCell ref="A8:E8"/>
    <mergeCell ref="A12:E12"/>
    <mergeCell ref="D4:E4"/>
    <mergeCell ref="D35:E35"/>
    <mergeCell ref="D28:E28"/>
    <mergeCell ref="D29:E29"/>
    <mergeCell ref="D30:E30"/>
    <mergeCell ref="D33:E33"/>
    <mergeCell ref="D31:E31"/>
    <mergeCell ref="D32:E32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J36"/>
  <sheetViews>
    <sheetView zoomScale="75" zoomScaleNormal="75" zoomScalePageLayoutView="0" workbookViewId="0" topLeftCell="A1">
      <selection activeCell="E2" sqref="E2"/>
    </sheetView>
  </sheetViews>
  <sheetFormatPr defaultColWidth="9.00390625" defaultRowHeight="12.75"/>
  <cols>
    <col min="1" max="1" width="32.00390625" style="2" customWidth="1"/>
    <col min="2" max="5" width="14.75390625" style="2" customWidth="1"/>
    <col min="6" max="16384" width="9.125" style="2" customWidth="1"/>
  </cols>
  <sheetData>
    <row r="1" spans="1:5" ht="48" customHeight="1">
      <c r="A1" s="157" t="s">
        <v>71</v>
      </c>
      <c r="B1" s="158"/>
      <c r="C1" s="158"/>
      <c r="D1" s="158"/>
      <c r="E1" s="158"/>
    </row>
    <row r="2" spans="1:5" ht="24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24" customHeight="1">
      <c r="A3" s="160" t="s">
        <v>29</v>
      </c>
      <c r="B3" s="161"/>
      <c r="C3" s="162"/>
      <c r="D3" s="5" t="s">
        <v>21</v>
      </c>
      <c r="E3" s="9"/>
    </row>
    <row r="4" spans="1:5" ht="24" customHeight="1">
      <c r="A4" s="6" t="s">
        <v>63</v>
      </c>
      <c r="B4" s="39"/>
      <c r="C4" s="170" t="s">
        <v>20</v>
      </c>
      <c r="D4" s="170"/>
      <c r="E4" s="39"/>
    </row>
    <row r="5" spans="1:5" ht="36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5" ht="16.5" customHeight="1">
      <c r="A6" s="41" t="s">
        <v>0</v>
      </c>
      <c r="B6" s="30">
        <f>E2-SUM(B7:B23)</f>
        <v>9.14</v>
      </c>
      <c r="C6" s="31"/>
      <c r="D6" s="31"/>
      <c r="E6" s="31"/>
    </row>
    <row r="7" spans="1:5" ht="16.5" customHeight="1">
      <c r="A7" s="42" t="s">
        <v>30</v>
      </c>
      <c r="B7" s="36">
        <f>E2*0.02</f>
        <v>2</v>
      </c>
      <c r="C7" s="37"/>
      <c r="D7" s="37"/>
      <c r="E7" s="37"/>
    </row>
    <row r="8" spans="1:5" ht="16.5" customHeight="1">
      <c r="A8" s="42" t="str">
        <f>Сырьё!B5</f>
        <v>Диспергатор Opotan N4045</v>
      </c>
      <c r="B8" s="36">
        <f>E2*0.003</f>
        <v>0.3</v>
      </c>
      <c r="C8" s="37"/>
      <c r="D8" s="37"/>
      <c r="E8" s="37"/>
    </row>
    <row r="9" spans="1:5" ht="16.5" customHeight="1">
      <c r="A9" s="42" t="s">
        <v>52</v>
      </c>
      <c r="B9" s="36">
        <f>E2*0.0001</f>
        <v>0.01</v>
      </c>
      <c r="C9" s="37"/>
      <c r="D9" s="37"/>
      <c r="E9" s="37"/>
    </row>
    <row r="10" spans="1:5" ht="16.5" customHeight="1">
      <c r="A10" s="42" t="s">
        <v>49</v>
      </c>
      <c r="B10" s="36">
        <f>E2*0.01</f>
        <v>1</v>
      </c>
      <c r="C10" s="37"/>
      <c r="D10" s="37"/>
      <c r="E10" s="37"/>
    </row>
    <row r="11" spans="1:5" ht="16.5" customHeight="1">
      <c r="A11" s="43" t="s">
        <v>64</v>
      </c>
      <c r="B11" s="33">
        <f>E2*0.15</f>
        <v>15</v>
      </c>
      <c r="C11" s="34"/>
      <c r="D11" s="34"/>
      <c r="E11" s="34"/>
    </row>
    <row r="12" spans="1:5" ht="21" customHeight="1">
      <c r="A12" s="164" t="s">
        <v>65</v>
      </c>
      <c r="B12" s="165"/>
      <c r="C12" s="165"/>
      <c r="D12" s="165"/>
      <c r="E12" s="166"/>
    </row>
    <row r="13" spans="1:5" ht="16.5" customHeight="1">
      <c r="A13" s="41" t="str">
        <f>Сырьё!B8</f>
        <v>Lomon  R996</v>
      </c>
      <c r="B13" s="30">
        <f>E2*0.01</f>
        <v>1</v>
      </c>
      <c r="C13" s="31"/>
      <c r="D13" s="31"/>
      <c r="E13" s="31"/>
    </row>
    <row r="14" spans="1:5" ht="16.5" customHeight="1">
      <c r="A14" s="42" t="s">
        <v>18</v>
      </c>
      <c r="B14" s="36">
        <f>E2*0.4</f>
        <v>40</v>
      </c>
      <c r="C14" s="37"/>
      <c r="D14" s="37"/>
      <c r="E14" s="37"/>
    </row>
    <row r="15" spans="1:5" ht="16.5" customHeight="1">
      <c r="A15" s="43" t="s">
        <v>50</v>
      </c>
      <c r="B15" s="33">
        <f>E2*0.15</f>
        <v>15</v>
      </c>
      <c r="C15" s="34"/>
      <c r="D15" s="34"/>
      <c r="E15" s="34"/>
    </row>
    <row r="16" spans="1:5" ht="21" customHeight="1">
      <c r="A16" s="164" t="s">
        <v>31</v>
      </c>
      <c r="B16" s="165"/>
      <c r="C16" s="165"/>
      <c r="D16" s="165"/>
      <c r="E16" s="166"/>
    </row>
    <row r="17" spans="1:5" ht="16.5" customHeight="1">
      <c r="A17" s="42" t="s">
        <v>1</v>
      </c>
      <c r="B17" s="36">
        <f>E2*0.02</f>
        <v>2</v>
      </c>
      <c r="C17" s="37"/>
      <c r="D17" s="37"/>
      <c r="E17" s="37"/>
    </row>
    <row r="18" spans="1:5" ht="16.5" customHeight="1">
      <c r="A18" s="42" t="str">
        <f>Сырьё!B6</f>
        <v>Пеногаситель Contrapen PR-194</v>
      </c>
      <c r="B18" s="36">
        <f>E2*0.001</f>
        <v>0.1</v>
      </c>
      <c r="C18" s="37"/>
      <c r="D18" s="37"/>
      <c r="E18" s="37"/>
    </row>
    <row r="19" spans="1:5" ht="16.5" customHeight="1">
      <c r="A19" s="42" t="s">
        <v>64</v>
      </c>
      <c r="B19" s="36">
        <f>E2*0.1</f>
        <v>10</v>
      </c>
      <c r="C19" s="44"/>
      <c r="D19" s="44"/>
      <c r="E19" s="44"/>
    </row>
    <row r="20" spans="1:5" ht="16.5" customHeight="1">
      <c r="A20" s="42" t="s">
        <v>69</v>
      </c>
      <c r="B20" s="36">
        <f>E2*0.04</f>
        <v>4</v>
      </c>
      <c r="C20" s="44"/>
      <c r="D20" s="44"/>
      <c r="E20" s="44"/>
    </row>
    <row r="21" spans="1:5" ht="16.5" customHeight="1">
      <c r="A21" s="42" t="str">
        <f>Сырьё!B7</f>
        <v>Консервант Acticide FI</v>
      </c>
      <c r="B21" s="36">
        <f>E2*0.002</f>
        <v>0.2</v>
      </c>
      <c r="C21" s="37"/>
      <c r="D21" s="37"/>
      <c r="E21" s="37"/>
    </row>
    <row r="22" spans="1:5" ht="16.5" customHeight="1">
      <c r="A22" s="42" t="s">
        <v>68</v>
      </c>
      <c r="B22" s="36">
        <f>E2*0.0005</f>
        <v>0.05</v>
      </c>
      <c r="C22" s="37"/>
      <c r="D22" s="37"/>
      <c r="E22" s="37"/>
    </row>
    <row r="23" spans="1:5" ht="16.5" customHeight="1">
      <c r="A23" s="43" t="str">
        <f>Сырьё!B17</f>
        <v>Загуститель Rheovis 112</v>
      </c>
      <c r="B23" s="33">
        <f>E2*0.002</f>
        <v>0.2</v>
      </c>
      <c r="C23" s="34"/>
      <c r="D23" s="34"/>
      <c r="E23" s="34"/>
    </row>
    <row r="24" spans="1:5" ht="36" customHeight="1">
      <c r="A24" s="167" t="s">
        <v>66</v>
      </c>
      <c r="B24" s="165"/>
      <c r="C24" s="165"/>
      <c r="D24" s="165"/>
      <c r="E24" s="166"/>
    </row>
    <row r="25" spans="1:5" ht="18" customHeight="1">
      <c r="A25" s="4" t="s">
        <v>11</v>
      </c>
      <c r="B25" s="3">
        <f>SUM(B6:B23)</f>
        <v>100</v>
      </c>
      <c r="C25" s="1"/>
      <c r="D25" s="1"/>
      <c r="E25" s="1"/>
    </row>
    <row r="26" spans="1:5" ht="18" customHeight="1">
      <c r="A26" s="12" t="s">
        <v>32</v>
      </c>
      <c r="B26" s="13">
        <f>(B7*0.1+B8*0.4+B10+(B11+B19)*0.0115+B13+B14+B15+B20*0.5+B23*0.3)*100/E2</f>
        <v>59.6675</v>
      </c>
      <c r="C26" s="14"/>
      <c r="D26" s="14"/>
      <c r="E26" s="14"/>
    </row>
    <row r="27" spans="1:5" ht="24" customHeight="1">
      <c r="A27" s="148" t="s">
        <v>45</v>
      </c>
      <c r="B27" s="148"/>
      <c r="C27" s="148" t="s">
        <v>12</v>
      </c>
      <c r="D27" s="148"/>
      <c r="E27" s="148"/>
    </row>
    <row r="28" spans="1:10" s="16" customFormat="1" ht="24" customHeight="1">
      <c r="A28" s="163" t="s">
        <v>33</v>
      </c>
      <c r="B28" s="163"/>
      <c r="C28" s="163"/>
      <c r="D28" s="163"/>
      <c r="E28" s="163"/>
      <c r="F28" s="15"/>
      <c r="G28" s="15"/>
      <c r="H28" s="15"/>
      <c r="I28" s="15"/>
      <c r="J28" s="15"/>
    </row>
    <row r="29" spans="1:10" s="16" customFormat="1" ht="38.25" customHeight="1">
      <c r="A29" s="17" t="s">
        <v>13</v>
      </c>
      <c r="B29" s="159" t="s">
        <v>47</v>
      </c>
      <c r="C29" s="152"/>
      <c r="D29" s="151" t="s">
        <v>14</v>
      </c>
      <c r="E29" s="152"/>
      <c r="F29" s="18"/>
      <c r="G29" s="19"/>
      <c r="H29" s="19"/>
      <c r="I29" s="19"/>
      <c r="J29" s="19"/>
    </row>
    <row r="30" spans="1:10" s="16" customFormat="1" ht="18" customHeight="1">
      <c r="A30" s="45" t="s">
        <v>4</v>
      </c>
      <c r="B30" s="172" t="s">
        <v>34</v>
      </c>
      <c r="C30" s="154"/>
      <c r="D30" s="153" t="s">
        <v>2</v>
      </c>
      <c r="E30" s="154"/>
      <c r="F30" s="18"/>
      <c r="G30" s="19"/>
      <c r="H30" s="19"/>
      <c r="I30" s="19"/>
      <c r="J30" s="19"/>
    </row>
    <row r="31" spans="1:10" s="16" customFormat="1" ht="18" customHeight="1">
      <c r="A31" s="46" t="s">
        <v>35</v>
      </c>
      <c r="B31" s="173" t="s">
        <v>36</v>
      </c>
      <c r="C31" s="156"/>
      <c r="D31" s="155"/>
      <c r="E31" s="156"/>
      <c r="F31" s="18"/>
      <c r="G31" s="19"/>
      <c r="H31" s="19"/>
      <c r="I31" s="19"/>
      <c r="J31" s="19"/>
    </row>
    <row r="32" spans="1:10" s="16" customFormat="1" ht="18" customHeight="1">
      <c r="A32" s="46" t="s">
        <v>16</v>
      </c>
      <c r="B32" s="174" t="s">
        <v>37</v>
      </c>
      <c r="C32" s="175"/>
      <c r="D32" s="155" t="s">
        <v>3</v>
      </c>
      <c r="E32" s="156"/>
      <c r="F32" s="18"/>
      <c r="G32" s="19"/>
      <c r="H32" s="19"/>
      <c r="I32" s="19"/>
      <c r="J32" s="19"/>
    </row>
    <row r="33" spans="1:10" s="16" customFormat="1" ht="30" customHeight="1">
      <c r="A33" s="47" t="s">
        <v>38</v>
      </c>
      <c r="B33" s="174" t="s">
        <v>39</v>
      </c>
      <c r="C33" s="175"/>
      <c r="D33" s="155"/>
      <c r="E33" s="156"/>
      <c r="F33" s="18"/>
      <c r="G33" s="19"/>
      <c r="H33" s="19"/>
      <c r="I33" s="19"/>
      <c r="J33" s="19"/>
    </row>
    <row r="34" spans="1:10" s="16" customFormat="1" ht="18" customHeight="1">
      <c r="A34" s="46" t="s">
        <v>17</v>
      </c>
      <c r="B34" s="174" t="s">
        <v>40</v>
      </c>
      <c r="C34" s="175"/>
      <c r="D34" s="155"/>
      <c r="E34" s="156"/>
      <c r="F34" s="18"/>
      <c r="G34" s="19"/>
      <c r="H34" s="19"/>
      <c r="I34" s="19"/>
      <c r="J34" s="19"/>
    </row>
    <row r="35" spans="1:10" s="16" customFormat="1" ht="30" customHeight="1">
      <c r="A35" s="48" t="s">
        <v>41</v>
      </c>
      <c r="B35" s="176" t="s">
        <v>42</v>
      </c>
      <c r="C35" s="177"/>
      <c r="D35" s="149" t="s">
        <v>2</v>
      </c>
      <c r="E35" s="150"/>
      <c r="F35" s="18"/>
      <c r="G35" s="19"/>
      <c r="H35" s="19"/>
      <c r="I35" s="19"/>
      <c r="J35" s="19"/>
    </row>
    <row r="36" spans="1:6" s="16" customFormat="1" ht="24" customHeight="1">
      <c r="A36" s="171" t="s">
        <v>15</v>
      </c>
      <c r="B36" s="171"/>
      <c r="C36" s="22"/>
      <c r="D36" s="23" t="s">
        <v>19</v>
      </c>
      <c r="E36" s="24" t="s">
        <v>72</v>
      </c>
      <c r="F36" s="25"/>
    </row>
  </sheetData>
  <sheetProtection password="CE1E" sheet="1" objects="1" scenarios="1" selectLockedCells="1"/>
  <mergeCells count="25">
    <mergeCell ref="A36:B36"/>
    <mergeCell ref="B30:C30"/>
    <mergeCell ref="B31:C31"/>
    <mergeCell ref="B34:C34"/>
    <mergeCell ref="B35:C35"/>
    <mergeCell ref="B32:C32"/>
    <mergeCell ref="B33:C33"/>
    <mergeCell ref="A1:E1"/>
    <mergeCell ref="B29:C29"/>
    <mergeCell ref="A3:C3"/>
    <mergeCell ref="A28:E28"/>
    <mergeCell ref="A12:E12"/>
    <mergeCell ref="A16:E16"/>
    <mergeCell ref="A24:E24"/>
    <mergeCell ref="B2:C2"/>
    <mergeCell ref="C4:D4"/>
    <mergeCell ref="A27:B27"/>
    <mergeCell ref="C27:E27"/>
    <mergeCell ref="D35:E35"/>
    <mergeCell ref="D29:E29"/>
    <mergeCell ref="D30:E30"/>
    <mergeCell ref="D31:E31"/>
    <mergeCell ref="D34:E34"/>
    <mergeCell ref="D32:E32"/>
    <mergeCell ref="D33:E33"/>
  </mergeCells>
  <printOptions/>
  <pageMargins left="0.75" right="0.4" top="0.39" bottom="0.39" header="0.39" footer="0.39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3"/>
  </sheetPr>
  <dimension ref="A1:J35"/>
  <sheetViews>
    <sheetView showGridLines="0" zoomScale="75" zoomScaleNormal="75" zoomScalePageLayoutView="0" workbookViewId="0" topLeftCell="A1">
      <selection activeCell="A1" sqref="A1:E1"/>
    </sheetView>
  </sheetViews>
  <sheetFormatPr defaultColWidth="9.00390625" defaultRowHeight="12.75"/>
  <cols>
    <col min="1" max="1" width="33.875" style="63" customWidth="1"/>
    <col min="2" max="2" width="11.25390625" style="63" customWidth="1"/>
    <col min="3" max="3" width="13.625" style="63" customWidth="1"/>
    <col min="4" max="5" width="14.75390625" style="63" customWidth="1"/>
    <col min="6" max="16384" width="9.125" style="63" customWidth="1"/>
  </cols>
  <sheetData>
    <row r="1" spans="1:5" ht="36" customHeight="1">
      <c r="A1" s="218" t="s">
        <v>143</v>
      </c>
      <c r="B1" s="219"/>
      <c r="C1" s="219"/>
      <c r="D1" s="219"/>
      <c r="E1" s="219"/>
    </row>
    <row r="2" spans="1:5" ht="18.75" customHeight="1">
      <c r="A2" s="64" t="s">
        <v>28</v>
      </c>
      <c r="B2" s="232">
        <f ca="1">TODAY()</f>
        <v>43794</v>
      </c>
      <c r="C2" s="233"/>
      <c r="D2" s="65" t="s">
        <v>7</v>
      </c>
      <c r="E2" s="66">
        <v>100</v>
      </c>
    </row>
    <row r="3" spans="1:5" ht="24" customHeight="1">
      <c r="A3" s="229" t="s">
        <v>29</v>
      </c>
      <c r="B3" s="230"/>
      <c r="C3" s="231"/>
      <c r="D3" s="64" t="s">
        <v>21</v>
      </c>
      <c r="E3" s="66"/>
    </row>
    <row r="4" spans="1:5" ht="24" customHeight="1">
      <c r="A4" s="103" t="s">
        <v>54</v>
      </c>
      <c r="B4" s="209" t="s">
        <v>55</v>
      </c>
      <c r="C4" s="209"/>
      <c r="D4" s="209" t="s">
        <v>20</v>
      </c>
      <c r="E4" s="209"/>
    </row>
    <row r="5" spans="1:5" ht="45.75" customHeight="1">
      <c r="A5" s="68" t="s">
        <v>8</v>
      </c>
      <c r="B5" s="68" t="s">
        <v>5</v>
      </c>
      <c r="C5" s="68" t="s">
        <v>9</v>
      </c>
      <c r="D5" s="68" t="s">
        <v>6</v>
      </c>
      <c r="E5" s="68" t="s">
        <v>10</v>
      </c>
    </row>
    <row r="6" spans="1:5" ht="16.5" customHeight="1">
      <c r="A6" s="69" t="s">
        <v>0</v>
      </c>
      <c r="B6" s="70">
        <f>E2-SUM(B7:B21)</f>
        <v>36.85999999999999</v>
      </c>
      <c r="C6" s="71"/>
      <c r="D6" s="71"/>
      <c r="E6" s="71"/>
    </row>
    <row r="7" spans="1:5" ht="16.5" customHeight="1">
      <c r="A7" s="72" t="str">
        <f>Сырьё!B15</f>
        <v>Polycol  WP-20B</v>
      </c>
      <c r="B7" s="85">
        <f>E2*0.0043</f>
        <v>0.43</v>
      </c>
      <c r="C7" s="74"/>
      <c r="D7" s="74"/>
      <c r="E7" s="74"/>
    </row>
    <row r="8" spans="1:5" ht="15.75" customHeight="1">
      <c r="A8" s="215" t="s">
        <v>90</v>
      </c>
      <c r="B8" s="216"/>
      <c r="C8" s="216"/>
      <c r="D8" s="216"/>
      <c r="E8" s="217"/>
    </row>
    <row r="9" spans="1:5" ht="16.5" customHeight="1">
      <c r="A9" s="69" t="s">
        <v>30</v>
      </c>
      <c r="B9" s="70">
        <f>E2*0.015</f>
        <v>1.5</v>
      </c>
      <c r="C9" s="71"/>
      <c r="D9" s="71"/>
      <c r="E9" s="71"/>
    </row>
    <row r="10" spans="1:5" ht="16.5" customHeight="1">
      <c r="A10" s="75" t="str">
        <f>Сырьё!B5</f>
        <v>Диспергатор Opotan N4045</v>
      </c>
      <c r="B10" s="76">
        <f>E2*0.0015</f>
        <v>0.15</v>
      </c>
      <c r="C10" s="77"/>
      <c r="D10" s="77"/>
      <c r="E10" s="77"/>
    </row>
    <row r="11" spans="1:5" ht="16.5" customHeight="1">
      <c r="A11" s="75" t="s">
        <v>52</v>
      </c>
      <c r="B11" s="76">
        <f>E2*0.0001</f>
        <v>0.01</v>
      </c>
      <c r="C11" s="77"/>
      <c r="D11" s="77"/>
      <c r="E11" s="77"/>
    </row>
    <row r="12" spans="1:5" ht="15.75" customHeight="1">
      <c r="A12" s="223" t="s">
        <v>86</v>
      </c>
      <c r="B12" s="224"/>
      <c r="C12" s="224"/>
      <c r="D12" s="224"/>
      <c r="E12" s="225"/>
    </row>
    <row r="13" spans="1:5" ht="16.5" customHeight="1">
      <c r="A13" s="83" t="str">
        <f>Сырьё!B8</f>
        <v>Lomon  R996</v>
      </c>
      <c r="B13" s="70">
        <f>E2*0.015</f>
        <v>1.5</v>
      </c>
      <c r="C13" s="71"/>
      <c r="D13" s="71"/>
      <c r="E13" s="71"/>
    </row>
    <row r="14" spans="1:5" ht="16.5" customHeight="1">
      <c r="A14" s="75" t="str">
        <f>Сырьё!B9</f>
        <v>Omyacarb 2-UR</v>
      </c>
      <c r="B14" s="76">
        <f>E2*0.4</f>
        <v>40</v>
      </c>
      <c r="C14" s="77"/>
      <c r="D14" s="77"/>
      <c r="E14" s="77"/>
    </row>
    <row r="15" spans="1:5" ht="16.5" customHeight="1">
      <c r="A15" s="75" t="str">
        <f>Сырьё!B12</f>
        <v>Omyacarb 5UR</v>
      </c>
      <c r="B15" s="85">
        <f>E2*0.15</f>
        <v>15</v>
      </c>
      <c r="C15" s="74"/>
      <c r="D15" s="74"/>
      <c r="E15" s="74"/>
    </row>
    <row r="16" spans="1:5" ht="17.25" customHeight="1">
      <c r="A16" s="215" t="s">
        <v>89</v>
      </c>
      <c r="B16" s="216"/>
      <c r="C16" s="216"/>
      <c r="D16" s="216"/>
      <c r="E16" s="217"/>
    </row>
    <row r="17" spans="1:5" ht="16.5" customHeight="1">
      <c r="A17" s="106" t="str">
        <f>Сырьё!B2</f>
        <v>DL-430</v>
      </c>
      <c r="B17" s="70">
        <f>E2*0.04</f>
        <v>4</v>
      </c>
      <c r="C17" s="84"/>
      <c r="D17" s="84"/>
      <c r="E17" s="84"/>
    </row>
    <row r="18" spans="1:5" ht="16.5" customHeight="1">
      <c r="A18" s="75" t="str">
        <f>'[3]Сырьё'!$B$9</f>
        <v>Консервант Acticide FI</v>
      </c>
      <c r="B18" s="76">
        <f>E2*0.002</f>
        <v>0.2</v>
      </c>
      <c r="C18" s="77"/>
      <c r="D18" s="77"/>
      <c r="E18" s="77"/>
    </row>
    <row r="19" spans="1:5" ht="15.75" customHeight="1">
      <c r="A19" s="75" t="s">
        <v>61</v>
      </c>
      <c r="B19" s="76">
        <f>E2*0.0005</f>
        <v>0.05</v>
      </c>
      <c r="C19" s="77"/>
      <c r="D19" s="77"/>
      <c r="E19" s="77"/>
    </row>
    <row r="20" spans="1:5" s="104" customFormat="1" ht="16.5" customHeight="1">
      <c r="A20" s="75" t="str">
        <f>'[3]Сырьё'!$B$7</f>
        <v>Пеногаситель Serdas 7015</v>
      </c>
      <c r="B20" s="76">
        <f>E2*0.001</f>
        <v>0.1</v>
      </c>
      <c r="C20" s="77"/>
      <c r="D20" s="77"/>
      <c r="E20" s="77"/>
    </row>
    <row r="21" spans="1:5" ht="16.5" customHeight="1">
      <c r="A21" s="72" t="str">
        <f>Сырьё!B17</f>
        <v>Загуститель Rheovis 112</v>
      </c>
      <c r="B21" s="85">
        <f>E2*0.002</f>
        <v>0.2</v>
      </c>
      <c r="C21" s="235" t="s">
        <v>91</v>
      </c>
      <c r="D21" s="236"/>
      <c r="E21" s="237"/>
    </row>
    <row r="22" spans="1:5" ht="16.5" customHeight="1">
      <c r="A22" s="72" t="s">
        <v>0</v>
      </c>
      <c r="B22" s="85">
        <f>E2*0.002</f>
        <v>0.2</v>
      </c>
      <c r="C22" s="238"/>
      <c r="D22" s="239"/>
      <c r="E22" s="240"/>
    </row>
    <row r="23" spans="1:5" ht="33" customHeight="1">
      <c r="A23" s="226" t="s">
        <v>92</v>
      </c>
      <c r="B23" s="227"/>
      <c r="C23" s="227"/>
      <c r="D23" s="227"/>
      <c r="E23" s="228"/>
    </row>
    <row r="24" spans="1:5" ht="16.5" customHeight="1">
      <c r="A24" s="86" t="s">
        <v>11</v>
      </c>
      <c r="B24" s="87">
        <f>SUM(B6:B21)</f>
        <v>99.99999999999999</v>
      </c>
      <c r="C24" s="88"/>
      <c r="D24" s="88"/>
      <c r="E24" s="88"/>
    </row>
    <row r="25" spans="1:5" ht="13.5" customHeight="1">
      <c r="A25" s="89" t="s">
        <v>32</v>
      </c>
      <c r="B25" s="90">
        <f>(B7+B9*0.1+B10*0.4+B11+B13+B14+B15+B17*0.5+(B20+B21)*0.3)*100/E2</f>
        <v>59.24</v>
      </c>
      <c r="C25" s="91"/>
      <c r="D25" s="91"/>
      <c r="E25" s="91"/>
    </row>
    <row r="26" spans="1:5" ht="21.75" customHeight="1">
      <c r="A26" s="234" t="s">
        <v>45</v>
      </c>
      <c r="B26" s="234"/>
      <c r="C26" s="234" t="s">
        <v>12</v>
      </c>
      <c r="D26" s="234"/>
      <c r="E26" s="234"/>
    </row>
    <row r="27" spans="1:10" s="93" customFormat="1" ht="11.25" customHeight="1">
      <c r="A27" s="222" t="s">
        <v>33</v>
      </c>
      <c r="B27" s="222"/>
      <c r="C27" s="222"/>
      <c r="D27" s="222"/>
      <c r="E27" s="222"/>
      <c r="F27" s="92"/>
      <c r="G27" s="92"/>
      <c r="H27" s="92"/>
      <c r="I27" s="92"/>
      <c r="J27" s="92"/>
    </row>
    <row r="28" spans="1:10" s="93" customFormat="1" ht="42" customHeight="1">
      <c r="A28" s="94" t="s">
        <v>13</v>
      </c>
      <c r="B28" s="220" t="s">
        <v>47</v>
      </c>
      <c r="C28" s="221"/>
      <c r="D28" s="242" t="s">
        <v>14</v>
      </c>
      <c r="E28" s="221"/>
      <c r="F28" s="95"/>
      <c r="G28" s="96"/>
      <c r="H28" s="96"/>
      <c r="I28" s="96"/>
      <c r="J28" s="96"/>
    </row>
    <row r="29" spans="1:10" s="93" customFormat="1" ht="18.75" customHeight="1">
      <c r="A29" s="97" t="s">
        <v>4</v>
      </c>
      <c r="B29" s="211" t="s">
        <v>34</v>
      </c>
      <c r="C29" s="212"/>
      <c r="D29" s="241" t="s">
        <v>2</v>
      </c>
      <c r="E29" s="212"/>
      <c r="F29" s="95"/>
      <c r="G29" s="96"/>
      <c r="H29" s="96"/>
      <c r="I29" s="96"/>
      <c r="J29" s="96"/>
    </row>
    <row r="30" spans="1:10" s="93" customFormat="1" ht="18" customHeight="1">
      <c r="A30" s="97" t="s">
        <v>35</v>
      </c>
      <c r="B30" s="211" t="s">
        <v>36</v>
      </c>
      <c r="C30" s="212"/>
      <c r="D30" s="241"/>
      <c r="E30" s="212"/>
      <c r="F30" s="95"/>
      <c r="G30" s="96"/>
      <c r="H30" s="96"/>
      <c r="I30" s="96"/>
      <c r="J30" s="96"/>
    </row>
    <row r="31" spans="1:10" s="93" customFormat="1" ht="18" customHeight="1">
      <c r="A31" s="97" t="s">
        <v>16</v>
      </c>
      <c r="B31" s="213" t="s">
        <v>37</v>
      </c>
      <c r="C31" s="214"/>
      <c r="D31" s="241" t="s">
        <v>3</v>
      </c>
      <c r="E31" s="212"/>
      <c r="F31" s="95"/>
      <c r="G31" s="96"/>
      <c r="H31" s="96"/>
      <c r="I31" s="96"/>
      <c r="J31" s="96"/>
    </row>
    <row r="32" spans="1:10" s="93" customFormat="1" ht="30" customHeight="1">
      <c r="A32" s="98" t="s">
        <v>38</v>
      </c>
      <c r="B32" s="213" t="s">
        <v>81</v>
      </c>
      <c r="C32" s="214"/>
      <c r="D32" s="241"/>
      <c r="E32" s="212"/>
      <c r="F32" s="95"/>
      <c r="G32" s="96"/>
      <c r="H32" s="96"/>
      <c r="I32" s="96"/>
      <c r="J32" s="96"/>
    </row>
    <row r="33" spans="1:10" s="93" customFormat="1" ht="18" customHeight="1">
      <c r="A33" s="97" t="s">
        <v>17</v>
      </c>
      <c r="B33" s="213" t="s">
        <v>40</v>
      </c>
      <c r="C33" s="214"/>
      <c r="D33" s="241"/>
      <c r="E33" s="212"/>
      <c r="F33" s="95"/>
      <c r="G33" s="96"/>
      <c r="H33" s="96"/>
      <c r="I33" s="96"/>
      <c r="J33" s="96"/>
    </row>
    <row r="34" spans="1:10" s="93" customFormat="1" ht="30" customHeight="1">
      <c r="A34" s="98" t="s">
        <v>41</v>
      </c>
      <c r="B34" s="213" t="s">
        <v>42</v>
      </c>
      <c r="C34" s="214"/>
      <c r="D34" s="241" t="s">
        <v>2</v>
      </c>
      <c r="E34" s="212"/>
      <c r="F34" s="95"/>
      <c r="G34" s="96"/>
      <c r="H34" s="96"/>
      <c r="I34" s="96"/>
      <c r="J34" s="96"/>
    </row>
    <row r="35" spans="1:6" s="93" customFormat="1" ht="14.25" customHeight="1">
      <c r="A35" s="210" t="s">
        <v>15</v>
      </c>
      <c r="B35" s="210"/>
      <c r="C35" s="99"/>
      <c r="D35" s="100" t="s">
        <v>19</v>
      </c>
      <c r="E35" s="24" t="s">
        <v>146</v>
      </c>
      <c r="F35" s="102"/>
    </row>
  </sheetData>
  <sheetProtection selectLockedCells="1"/>
  <mergeCells count="28">
    <mergeCell ref="C21:E22"/>
    <mergeCell ref="D34:E34"/>
    <mergeCell ref="D28:E28"/>
    <mergeCell ref="D29:E29"/>
    <mergeCell ref="D30:E30"/>
    <mergeCell ref="D33:E33"/>
    <mergeCell ref="D31:E31"/>
    <mergeCell ref="D32:E32"/>
    <mergeCell ref="A1:E1"/>
    <mergeCell ref="B28:C28"/>
    <mergeCell ref="A27:E27"/>
    <mergeCell ref="A12:E12"/>
    <mergeCell ref="A16:E16"/>
    <mergeCell ref="A23:E23"/>
    <mergeCell ref="A3:C3"/>
    <mergeCell ref="B2:C2"/>
    <mergeCell ref="A26:B26"/>
    <mergeCell ref="A8:E8"/>
    <mergeCell ref="D4:E4"/>
    <mergeCell ref="B4:C4"/>
    <mergeCell ref="A35:B35"/>
    <mergeCell ref="B29:C29"/>
    <mergeCell ref="B30:C30"/>
    <mergeCell ref="B33:C33"/>
    <mergeCell ref="B34:C34"/>
    <mergeCell ref="B31:C31"/>
    <mergeCell ref="B32:C32"/>
    <mergeCell ref="C26:E26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2"/>
  </sheetPr>
  <dimension ref="A1:G39"/>
  <sheetViews>
    <sheetView showGridLines="0" zoomScale="75" zoomScaleNormal="75" zoomScalePageLayoutView="0" workbookViewId="0" topLeftCell="A1">
      <selection activeCell="A9" sqref="A9:E9"/>
    </sheetView>
  </sheetViews>
  <sheetFormatPr defaultColWidth="9.00390625" defaultRowHeight="12.75"/>
  <cols>
    <col min="1" max="1" width="32.75390625" style="2" customWidth="1"/>
    <col min="2" max="5" width="14.75390625" style="2" customWidth="1"/>
    <col min="6" max="16384" width="9.125" style="2" customWidth="1"/>
  </cols>
  <sheetData>
    <row r="1" spans="1:5" ht="39" customHeight="1">
      <c r="A1" s="157" t="s">
        <v>120</v>
      </c>
      <c r="B1" s="180"/>
      <c r="C1" s="180"/>
      <c r="D1" s="180"/>
      <c r="E1" s="180"/>
    </row>
    <row r="2" spans="1:5" ht="1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15.75" customHeight="1">
      <c r="A3" s="160" t="s">
        <v>29</v>
      </c>
      <c r="B3" s="161"/>
      <c r="C3" s="162"/>
      <c r="D3" s="5" t="s">
        <v>21</v>
      </c>
      <c r="E3" s="9"/>
    </row>
    <row r="4" spans="1:5" ht="15.75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33.7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7" ht="16.5" customHeight="1">
      <c r="A6" s="29" t="s">
        <v>0</v>
      </c>
      <c r="B6" s="30">
        <f>E2-SUM(B7:B26)</f>
        <v>17.189999999999984</v>
      </c>
      <c r="C6" s="31"/>
      <c r="D6" s="31"/>
      <c r="E6" s="31"/>
      <c r="G6" s="58" t="s">
        <v>94</v>
      </c>
    </row>
    <row r="7" spans="1:7" ht="16.5" customHeight="1">
      <c r="A7" s="53" t="s">
        <v>93</v>
      </c>
      <c r="B7" s="54">
        <f>E2*0.2</f>
        <v>20</v>
      </c>
      <c r="C7" s="55"/>
      <c r="D7" s="55"/>
      <c r="E7" s="55"/>
      <c r="G7" s="57">
        <v>0.2</v>
      </c>
    </row>
    <row r="8" spans="1:5" ht="16.5" customHeight="1">
      <c r="A8" s="32" t="str">
        <f>Сырьё!B16</f>
        <v>Polycol  WP-20B</v>
      </c>
      <c r="B8" s="33">
        <f>E2*0.003</f>
        <v>0.3</v>
      </c>
      <c r="C8" s="34"/>
      <c r="D8" s="34"/>
      <c r="E8" s="34"/>
    </row>
    <row r="9" spans="1:5" ht="15.75" customHeight="1">
      <c r="A9" s="184" t="s">
        <v>90</v>
      </c>
      <c r="B9" s="185"/>
      <c r="C9" s="185"/>
      <c r="D9" s="185"/>
      <c r="E9" s="186"/>
    </row>
    <row r="10" spans="1:5" ht="16.5" customHeight="1">
      <c r="A10" s="29" t="s">
        <v>30</v>
      </c>
      <c r="B10" s="30">
        <f>E2*0.015</f>
        <v>1.5</v>
      </c>
      <c r="C10" s="31"/>
      <c r="D10" s="31"/>
      <c r="E10" s="31"/>
    </row>
    <row r="11" spans="1:5" ht="16.5" customHeight="1">
      <c r="A11" s="35" t="s">
        <v>1</v>
      </c>
      <c r="B11" s="36">
        <f>E2*0.015</f>
        <v>1.5</v>
      </c>
      <c r="C11" s="62"/>
      <c r="D11" s="62"/>
      <c r="E11" s="62"/>
    </row>
    <row r="12" spans="1:5" ht="16.5" customHeight="1">
      <c r="A12" s="35" t="str">
        <f>Сырьё!B5</f>
        <v>Диспергатор Opotan N4045</v>
      </c>
      <c r="B12" s="36">
        <f>E2*0.0015</f>
        <v>0.15</v>
      </c>
      <c r="C12" s="37"/>
      <c r="D12" s="37"/>
      <c r="E12" s="37"/>
    </row>
    <row r="13" spans="1:5" ht="16.5" customHeight="1">
      <c r="A13" s="35" t="s">
        <v>52</v>
      </c>
      <c r="B13" s="36">
        <f>E2*0.0001</f>
        <v>0.01</v>
      </c>
      <c r="C13" s="37"/>
      <c r="D13" s="37"/>
      <c r="E13" s="37"/>
    </row>
    <row r="14" spans="1:5" ht="17.25" customHeight="1">
      <c r="A14" s="181" t="s">
        <v>86</v>
      </c>
      <c r="B14" s="182"/>
      <c r="C14" s="182"/>
      <c r="D14" s="182"/>
      <c r="E14" s="183"/>
    </row>
    <row r="15" spans="1:5" ht="16.5" customHeight="1">
      <c r="A15" s="29" t="s">
        <v>83</v>
      </c>
      <c r="B15" s="30">
        <f>E2*0.0005</f>
        <v>0.05</v>
      </c>
      <c r="C15" s="31"/>
      <c r="D15" s="31"/>
      <c r="E15" s="31"/>
    </row>
    <row r="16" spans="1:5" ht="16.5" customHeight="1">
      <c r="A16" s="61" t="str">
        <f>Сырьё!B8</f>
        <v>Lomon  R996</v>
      </c>
      <c r="B16" s="30">
        <f>E2*0.02</f>
        <v>2</v>
      </c>
      <c r="C16" s="31"/>
      <c r="D16" s="31"/>
      <c r="E16" s="31"/>
    </row>
    <row r="17" spans="1:5" ht="16.5" customHeight="1">
      <c r="A17" s="35" t="str">
        <f>Сырьё!B9</f>
        <v>Omyacarb 2-UR</v>
      </c>
      <c r="B17" s="36">
        <f>E2*0.4</f>
        <v>40</v>
      </c>
      <c r="C17" s="37"/>
      <c r="D17" s="37"/>
      <c r="E17" s="37"/>
    </row>
    <row r="18" spans="1:5" ht="16.5" customHeight="1">
      <c r="A18" s="35" t="str">
        <f>Сырьё!B12</f>
        <v>Omyacarb 5UR</v>
      </c>
      <c r="B18" s="36">
        <f>E2*0.15</f>
        <v>15</v>
      </c>
      <c r="C18" s="37"/>
      <c r="D18" s="37"/>
      <c r="E18" s="37"/>
    </row>
    <row r="19" spans="1:5" ht="16.5" customHeight="1">
      <c r="A19" s="32" t="s">
        <v>99</v>
      </c>
      <c r="B19" s="33">
        <f>E2*0.005</f>
        <v>0.5</v>
      </c>
      <c r="C19" s="34"/>
      <c r="D19" s="34"/>
      <c r="E19" s="34"/>
    </row>
    <row r="20" spans="1:5" ht="17.25" customHeight="1">
      <c r="A20" s="184" t="s">
        <v>89</v>
      </c>
      <c r="B20" s="185"/>
      <c r="C20" s="185"/>
      <c r="D20" s="185"/>
      <c r="E20" s="186"/>
    </row>
    <row r="21" spans="1:5" ht="16.5" customHeight="1">
      <c r="A21" s="29" t="str">
        <f>Сырьё!B4</f>
        <v>DL-430</v>
      </c>
      <c r="B21" s="30">
        <f>E2*((4.5-20*G7)/50)</f>
        <v>1</v>
      </c>
      <c r="C21" s="38"/>
      <c r="D21" s="38"/>
      <c r="E21" s="38"/>
    </row>
    <row r="22" spans="1:5" ht="16.5" customHeight="1">
      <c r="A22" s="35" t="str">
        <f>'[4]Сырьё'!$B$9</f>
        <v>Консервант Acticide FI</v>
      </c>
      <c r="B22" s="36">
        <f>E2*0.002</f>
        <v>0.2</v>
      </c>
      <c r="C22" s="37"/>
      <c r="D22" s="37"/>
      <c r="E22" s="37"/>
    </row>
    <row r="23" spans="1:5" ht="15.75" customHeight="1">
      <c r="A23" s="35" t="s">
        <v>61</v>
      </c>
      <c r="B23" s="36">
        <f>E2*0.0005</f>
        <v>0.05</v>
      </c>
      <c r="C23" s="37"/>
      <c r="D23" s="37"/>
      <c r="E23" s="37"/>
    </row>
    <row r="24" spans="1:5" ht="16.5" customHeight="1">
      <c r="A24" s="35" t="str">
        <f>'[4]Сырьё'!$B$7</f>
        <v>Пеногаситель Serdas 7015</v>
      </c>
      <c r="B24" s="36">
        <f>E2*0.0015</f>
        <v>0.15</v>
      </c>
      <c r="C24" s="37"/>
      <c r="D24" s="37"/>
      <c r="E24" s="37"/>
    </row>
    <row r="25" spans="1:5" ht="16.5" customHeight="1">
      <c r="A25" s="32" t="str">
        <f>Сырьё!B17</f>
        <v>Загуститель Rheovis 112</v>
      </c>
      <c r="B25" s="33">
        <f>E2*0.002</f>
        <v>0.2</v>
      </c>
      <c r="C25" s="190" t="s">
        <v>91</v>
      </c>
      <c r="D25" s="191"/>
      <c r="E25" s="192"/>
    </row>
    <row r="26" spans="1:5" ht="16.5" customHeight="1">
      <c r="A26" s="72" t="s">
        <v>0</v>
      </c>
      <c r="B26" s="33">
        <f>E2*0.002</f>
        <v>0.2</v>
      </c>
      <c r="C26" s="193"/>
      <c r="D26" s="194"/>
      <c r="E26" s="195"/>
    </row>
    <row r="27" spans="1:5" ht="33.75" customHeight="1">
      <c r="A27" s="187" t="s">
        <v>92</v>
      </c>
      <c r="B27" s="188"/>
      <c r="C27" s="188"/>
      <c r="D27" s="188"/>
      <c r="E27" s="189"/>
    </row>
    <row r="28" spans="1:5" ht="16.5" customHeight="1">
      <c r="A28" s="4" t="s">
        <v>11</v>
      </c>
      <c r="B28" s="3">
        <f>SUM(B6:B26)</f>
        <v>99.99999999999999</v>
      </c>
      <c r="C28" s="1"/>
      <c r="D28" s="1"/>
      <c r="E28" s="1"/>
    </row>
    <row r="29" spans="1:5" ht="16.5" customHeight="1">
      <c r="A29" s="12" t="s">
        <v>32</v>
      </c>
      <c r="B29" s="13">
        <f>(20*G7+B8+B10*0.1+B12*0.4+B13+B16+B17+B18+B21*0.5+(B24+B25)*0.3)*100/E2</f>
        <v>62.12499999999999</v>
      </c>
      <c r="C29" s="14"/>
      <c r="D29" s="14"/>
      <c r="E29" s="14"/>
    </row>
    <row r="30" spans="1:5" ht="21.75" customHeight="1">
      <c r="A30" s="148" t="s">
        <v>45</v>
      </c>
      <c r="B30" s="148"/>
      <c r="C30" s="148" t="s">
        <v>12</v>
      </c>
      <c r="D30" s="148"/>
      <c r="E30" s="148"/>
    </row>
    <row r="31" spans="1:7" s="16" customFormat="1" ht="21.75" customHeight="1">
      <c r="A31" s="163" t="s">
        <v>33</v>
      </c>
      <c r="B31" s="163"/>
      <c r="C31" s="163"/>
      <c r="D31" s="163"/>
      <c r="E31" s="163"/>
      <c r="F31" s="15"/>
      <c r="G31" s="15"/>
    </row>
    <row r="32" spans="1:7" s="16" customFormat="1" ht="39" customHeight="1">
      <c r="A32" s="17" t="s">
        <v>13</v>
      </c>
      <c r="B32" s="159" t="s">
        <v>47</v>
      </c>
      <c r="C32" s="152"/>
      <c r="D32" s="151" t="s">
        <v>14</v>
      </c>
      <c r="E32" s="152"/>
      <c r="F32" s="18"/>
      <c r="G32" s="19"/>
    </row>
    <row r="33" spans="1:7" s="16" customFormat="1" ht="18" customHeight="1">
      <c r="A33" s="20" t="s">
        <v>4</v>
      </c>
      <c r="B33" s="197" t="s">
        <v>34</v>
      </c>
      <c r="C33" s="179"/>
      <c r="D33" s="178" t="s">
        <v>2</v>
      </c>
      <c r="E33" s="179"/>
      <c r="F33" s="18"/>
      <c r="G33" s="19"/>
    </row>
    <row r="34" spans="1:7" s="16" customFormat="1" ht="18" customHeight="1">
      <c r="A34" s="20" t="s">
        <v>35</v>
      </c>
      <c r="B34" s="197" t="s">
        <v>36</v>
      </c>
      <c r="C34" s="179"/>
      <c r="D34" s="178"/>
      <c r="E34" s="179"/>
      <c r="F34" s="18"/>
      <c r="G34" s="19"/>
    </row>
    <row r="35" spans="1:7" s="16" customFormat="1" ht="18" customHeight="1">
      <c r="A35" s="20" t="s">
        <v>16</v>
      </c>
      <c r="B35" s="198" t="s">
        <v>37</v>
      </c>
      <c r="C35" s="199"/>
      <c r="D35" s="178" t="s">
        <v>3</v>
      </c>
      <c r="E35" s="179"/>
      <c r="F35" s="18"/>
      <c r="G35" s="19"/>
    </row>
    <row r="36" spans="1:7" s="16" customFormat="1" ht="30" customHeight="1">
      <c r="A36" s="21" t="s">
        <v>38</v>
      </c>
      <c r="B36" s="198" t="s">
        <v>81</v>
      </c>
      <c r="C36" s="199"/>
      <c r="D36" s="178"/>
      <c r="E36" s="179"/>
      <c r="F36" s="18"/>
      <c r="G36" s="19"/>
    </row>
    <row r="37" spans="1:7" s="16" customFormat="1" ht="18" customHeight="1">
      <c r="A37" s="20" t="s">
        <v>17</v>
      </c>
      <c r="B37" s="198" t="s">
        <v>40</v>
      </c>
      <c r="C37" s="199"/>
      <c r="D37" s="178"/>
      <c r="E37" s="179"/>
      <c r="F37" s="18"/>
      <c r="G37" s="19"/>
    </row>
    <row r="38" spans="1:7" s="16" customFormat="1" ht="30" customHeight="1">
      <c r="A38" s="21" t="s">
        <v>41</v>
      </c>
      <c r="B38" s="198" t="s">
        <v>42</v>
      </c>
      <c r="C38" s="199"/>
      <c r="D38" s="178" t="s">
        <v>2</v>
      </c>
      <c r="E38" s="179"/>
      <c r="F38" s="18"/>
      <c r="G38" s="19"/>
    </row>
    <row r="39" spans="1:6" s="16" customFormat="1" ht="24" customHeight="1">
      <c r="A39" s="171" t="s">
        <v>15</v>
      </c>
      <c r="B39" s="171"/>
      <c r="C39" s="22"/>
      <c r="D39" s="23" t="s">
        <v>19</v>
      </c>
      <c r="E39" s="24" t="s">
        <v>107</v>
      </c>
      <c r="F39" s="25"/>
    </row>
  </sheetData>
  <sheetProtection selectLockedCells="1"/>
  <mergeCells count="28">
    <mergeCell ref="C30:E30"/>
    <mergeCell ref="D38:E38"/>
    <mergeCell ref="D32:E32"/>
    <mergeCell ref="D33:E33"/>
    <mergeCell ref="D34:E34"/>
    <mergeCell ref="D37:E37"/>
    <mergeCell ref="D35:E35"/>
    <mergeCell ref="D36:E36"/>
    <mergeCell ref="A1:E1"/>
    <mergeCell ref="B32:C32"/>
    <mergeCell ref="A31:E31"/>
    <mergeCell ref="A14:E14"/>
    <mergeCell ref="A20:E20"/>
    <mergeCell ref="A27:E27"/>
    <mergeCell ref="A3:C3"/>
    <mergeCell ref="B2:C2"/>
    <mergeCell ref="A30:B30"/>
    <mergeCell ref="C25:E26"/>
    <mergeCell ref="D4:E4"/>
    <mergeCell ref="B4:C4"/>
    <mergeCell ref="A39:B39"/>
    <mergeCell ref="B33:C33"/>
    <mergeCell ref="B34:C34"/>
    <mergeCell ref="B37:C37"/>
    <mergeCell ref="B38:C38"/>
    <mergeCell ref="B35:C35"/>
    <mergeCell ref="B36:C36"/>
    <mergeCell ref="A9:E9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3"/>
  </sheetPr>
  <dimension ref="A1:G36"/>
  <sheetViews>
    <sheetView showGridLines="0" zoomScale="75" zoomScaleNormal="75" zoomScalePageLayoutView="0" workbookViewId="0" topLeftCell="A1">
      <selection activeCell="E3" sqref="E3"/>
    </sheetView>
  </sheetViews>
  <sheetFormatPr defaultColWidth="9.00390625" defaultRowHeight="12.75"/>
  <cols>
    <col min="1" max="1" width="34.25390625" style="63" customWidth="1"/>
    <col min="2" max="2" width="14.75390625" style="63" customWidth="1"/>
    <col min="3" max="3" width="14.125" style="63" customWidth="1"/>
    <col min="4" max="4" width="13.375" style="63" customWidth="1"/>
    <col min="5" max="5" width="14.75390625" style="63" customWidth="1"/>
    <col min="6" max="16384" width="9.125" style="63" customWidth="1"/>
  </cols>
  <sheetData>
    <row r="1" spans="1:5" ht="39" customHeight="1">
      <c r="A1" s="218" t="s">
        <v>144</v>
      </c>
      <c r="B1" s="219"/>
      <c r="C1" s="219"/>
      <c r="D1" s="219"/>
      <c r="E1" s="219"/>
    </row>
    <row r="2" spans="1:5" ht="15" customHeight="1">
      <c r="A2" s="64" t="s">
        <v>28</v>
      </c>
      <c r="B2" s="232">
        <f ca="1">TODAY()</f>
        <v>43794</v>
      </c>
      <c r="C2" s="233"/>
      <c r="D2" s="65" t="s">
        <v>7</v>
      </c>
      <c r="E2" s="66">
        <v>2000</v>
      </c>
    </row>
    <row r="3" spans="1:5" ht="15.75" customHeight="1">
      <c r="A3" s="229" t="s">
        <v>29</v>
      </c>
      <c r="B3" s="230"/>
      <c r="C3" s="231"/>
      <c r="D3" s="64" t="s">
        <v>21</v>
      </c>
      <c r="E3" s="66"/>
    </row>
    <row r="4" spans="1:5" ht="15.75" customHeight="1">
      <c r="A4" s="103" t="s">
        <v>54</v>
      </c>
      <c r="B4" s="209" t="s">
        <v>55</v>
      </c>
      <c r="C4" s="209"/>
      <c r="D4" s="209" t="s">
        <v>20</v>
      </c>
      <c r="E4" s="209"/>
    </row>
    <row r="5" spans="1:5" ht="33.75" customHeight="1">
      <c r="A5" s="68" t="s">
        <v>8</v>
      </c>
      <c r="B5" s="68" t="s">
        <v>5</v>
      </c>
      <c r="C5" s="68" t="s">
        <v>9</v>
      </c>
      <c r="D5" s="68" t="s">
        <v>6</v>
      </c>
      <c r="E5" s="68" t="s">
        <v>10</v>
      </c>
    </row>
    <row r="6" spans="1:5" ht="16.5" customHeight="1">
      <c r="A6" s="69" t="s">
        <v>0</v>
      </c>
      <c r="B6" s="70">
        <f>E2-SUM(B7:B22)</f>
        <v>627.8</v>
      </c>
      <c r="C6" s="71"/>
      <c r="D6" s="71"/>
      <c r="E6" s="71"/>
    </row>
    <row r="7" spans="1:5" ht="16.5" customHeight="1">
      <c r="A7" s="72" t="str">
        <f>Сырьё!B16</f>
        <v>Polycol  WP-20B</v>
      </c>
      <c r="B7" s="85">
        <f>E2*0.0035</f>
        <v>7</v>
      </c>
      <c r="C7" s="74"/>
      <c r="D7" s="74"/>
      <c r="E7" s="74"/>
    </row>
    <row r="8" spans="1:5" ht="15.75" customHeight="1">
      <c r="A8" s="215" t="s">
        <v>90</v>
      </c>
      <c r="B8" s="216"/>
      <c r="C8" s="216"/>
      <c r="D8" s="216"/>
      <c r="E8" s="217"/>
    </row>
    <row r="9" spans="1:5" ht="16.5" customHeight="1">
      <c r="A9" s="69" t="s">
        <v>30</v>
      </c>
      <c r="B9" s="70">
        <f>E2*0.015</f>
        <v>30</v>
      </c>
      <c r="C9" s="71"/>
      <c r="D9" s="71"/>
      <c r="E9" s="71"/>
    </row>
    <row r="10" spans="1:5" ht="16.5" customHeight="1">
      <c r="A10" s="75" t="str">
        <f>Сырьё!B5</f>
        <v>Диспергатор Opotan N4045</v>
      </c>
      <c r="B10" s="76">
        <f>E2*0.0015</f>
        <v>3</v>
      </c>
      <c r="C10" s="77"/>
      <c r="D10" s="77"/>
      <c r="E10" s="77"/>
    </row>
    <row r="11" spans="1:5" ht="16.5" customHeight="1">
      <c r="A11" s="75" t="s">
        <v>52</v>
      </c>
      <c r="B11" s="76">
        <f>E2*0.0001</f>
        <v>0.2</v>
      </c>
      <c r="C11" s="77"/>
      <c r="D11" s="77"/>
      <c r="E11" s="77"/>
    </row>
    <row r="12" spans="1:5" ht="17.25" customHeight="1">
      <c r="A12" s="223" t="s">
        <v>86</v>
      </c>
      <c r="B12" s="224"/>
      <c r="C12" s="224"/>
      <c r="D12" s="224"/>
      <c r="E12" s="225"/>
    </row>
    <row r="13" spans="1:5" ht="16.5" customHeight="1">
      <c r="A13" s="69" t="s">
        <v>83</v>
      </c>
      <c r="B13" s="70">
        <f>E2*0.0005</f>
        <v>1</v>
      </c>
      <c r="C13" s="71"/>
      <c r="D13" s="71"/>
      <c r="E13" s="71"/>
    </row>
    <row r="14" spans="1:5" ht="16.5" customHeight="1">
      <c r="A14" s="69" t="str">
        <f>Сырьё!B8</f>
        <v>Lomon  R996</v>
      </c>
      <c r="B14" s="70">
        <f>E2*0.02</f>
        <v>40</v>
      </c>
      <c r="C14" s="71"/>
      <c r="D14" s="71"/>
      <c r="E14" s="71"/>
    </row>
    <row r="15" spans="1:5" ht="16.5" customHeight="1">
      <c r="A15" s="75" t="str">
        <f>Сырьё!B11</f>
        <v>Omyacarb 2-UR</v>
      </c>
      <c r="B15" s="76">
        <f>E2*0.4</f>
        <v>800</v>
      </c>
      <c r="C15" s="77"/>
      <c r="D15" s="77"/>
      <c r="E15" s="77"/>
    </row>
    <row r="16" spans="1:5" ht="16.5" customHeight="1">
      <c r="A16" s="75" t="str">
        <f>Сырьё!B12</f>
        <v>Omyacarb 5UR</v>
      </c>
      <c r="B16" s="76">
        <f>E2*0.15</f>
        <v>300</v>
      </c>
      <c r="C16" s="77"/>
      <c r="D16" s="77"/>
      <c r="E16" s="77"/>
    </row>
    <row r="17" spans="1:5" ht="17.25" customHeight="1">
      <c r="A17" s="215" t="s">
        <v>89</v>
      </c>
      <c r="B17" s="216"/>
      <c r="C17" s="216"/>
      <c r="D17" s="216"/>
      <c r="E17" s="217"/>
    </row>
    <row r="18" spans="1:5" ht="16.5" customHeight="1">
      <c r="A18" s="69" t="str">
        <f>Сырьё!B4</f>
        <v>DL-430</v>
      </c>
      <c r="B18" s="70">
        <f>E2*0.09</f>
        <v>180</v>
      </c>
      <c r="C18" s="84"/>
      <c r="D18" s="84"/>
      <c r="E18" s="84"/>
    </row>
    <row r="19" spans="1:5" ht="16.5" customHeight="1">
      <c r="A19" s="75" t="str">
        <f>'[3]Сырьё'!$B$9</f>
        <v>Консервант Acticide FI</v>
      </c>
      <c r="B19" s="76">
        <f>E2*0.002</f>
        <v>4</v>
      </c>
      <c r="C19" s="77"/>
      <c r="D19" s="77"/>
      <c r="E19" s="77"/>
    </row>
    <row r="20" spans="1:5" ht="15.75" customHeight="1">
      <c r="A20" s="75" t="s">
        <v>61</v>
      </c>
      <c r="B20" s="76">
        <f>E2*0.0005</f>
        <v>1</v>
      </c>
      <c r="C20" s="77"/>
      <c r="D20" s="77"/>
      <c r="E20" s="77"/>
    </row>
    <row r="21" spans="1:5" ht="16.5" customHeight="1">
      <c r="A21" s="75" t="str">
        <f>'[3]Сырьё'!$B$7</f>
        <v>Пеногаситель Serdas 7015</v>
      </c>
      <c r="B21" s="76">
        <f>E2*0.001</f>
        <v>2</v>
      </c>
      <c r="C21" s="77"/>
      <c r="D21" s="77"/>
      <c r="E21" s="77"/>
    </row>
    <row r="22" spans="1:5" ht="16.5" customHeight="1">
      <c r="A22" s="72" t="str">
        <f>Сырьё!B17</f>
        <v>Загуститель Rheovis 112</v>
      </c>
      <c r="B22" s="85">
        <f>E2*0.002</f>
        <v>4</v>
      </c>
      <c r="C22" s="235" t="s">
        <v>91</v>
      </c>
      <c r="D22" s="236"/>
      <c r="E22" s="237"/>
    </row>
    <row r="23" spans="1:5" ht="16.5" customHeight="1">
      <c r="A23" s="72" t="s">
        <v>0</v>
      </c>
      <c r="B23" s="85">
        <f>E2*0.002</f>
        <v>4</v>
      </c>
      <c r="C23" s="238"/>
      <c r="D23" s="239"/>
      <c r="E23" s="240"/>
    </row>
    <row r="24" spans="1:5" ht="33.75" customHeight="1">
      <c r="A24" s="226" t="s">
        <v>92</v>
      </c>
      <c r="B24" s="227"/>
      <c r="C24" s="227"/>
      <c r="D24" s="227"/>
      <c r="E24" s="228"/>
    </row>
    <row r="25" spans="1:5" ht="16.5" customHeight="1">
      <c r="A25" s="86" t="s">
        <v>11</v>
      </c>
      <c r="B25" s="87">
        <f>SUM(B6:B22)</f>
        <v>2000</v>
      </c>
      <c r="C25" s="88"/>
      <c r="D25" s="88"/>
      <c r="E25" s="88"/>
    </row>
    <row r="26" spans="1:5" ht="16.5" customHeight="1">
      <c r="A26" s="89" t="s">
        <v>32</v>
      </c>
      <c r="B26" s="90">
        <f>(B7+B9*0.1+B10*0.4+B11+B14+B15+B16+B18*0.5+(B21+B22)*0.3)*100/E2</f>
        <v>62.16</v>
      </c>
      <c r="C26" s="91"/>
      <c r="D26" s="91"/>
      <c r="E26" s="91"/>
    </row>
    <row r="27" spans="1:5" ht="21.75" customHeight="1">
      <c r="A27" s="234" t="s">
        <v>45</v>
      </c>
      <c r="B27" s="234"/>
      <c r="C27" s="234" t="s">
        <v>12</v>
      </c>
      <c r="D27" s="234"/>
      <c r="E27" s="234"/>
    </row>
    <row r="28" spans="1:7" s="93" customFormat="1" ht="21.75" customHeight="1">
      <c r="A28" s="222" t="s">
        <v>33</v>
      </c>
      <c r="B28" s="222"/>
      <c r="C28" s="222"/>
      <c r="D28" s="222"/>
      <c r="E28" s="222"/>
      <c r="F28" s="92"/>
      <c r="G28" s="92"/>
    </row>
    <row r="29" spans="1:7" s="93" customFormat="1" ht="39" customHeight="1">
      <c r="A29" s="94" t="s">
        <v>13</v>
      </c>
      <c r="B29" s="220" t="s">
        <v>47</v>
      </c>
      <c r="C29" s="221"/>
      <c r="D29" s="242" t="s">
        <v>14</v>
      </c>
      <c r="E29" s="221"/>
      <c r="F29" s="95"/>
      <c r="G29" s="96"/>
    </row>
    <row r="30" spans="1:7" s="93" customFormat="1" ht="18" customHeight="1">
      <c r="A30" s="97" t="s">
        <v>4</v>
      </c>
      <c r="B30" s="211" t="s">
        <v>34</v>
      </c>
      <c r="C30" s="212"/>
      <c r="D30" s="241" t="s">
        <v>2</v>
      </c>
      <c r="E30" s="212"/>
      <c r="F30" s="95"/>
      <c r="G30" s="96"/>
    </row>
    <row r="31" spans="1:7" s="93" customFormat="1" ht="18" customHeight="1">
      <c r="A31" s="97" t="s">
        <v>35</v>
      </c>
      <c r="B31" s="211" t="s">
        <v>36</v>
      </c>
      <c r="C31" s="212"/>
      <c r="D31" s="241"/>
      <c r="E31" s="212"/>
      <c r="F31" s="95"/>
      <c r="G31" s="96"/>
    </row>
    <row r="32" spans="1:7" s="93" customFormat="1" ht="18" customHeight="1">
      <c r="A32" s="97" t="s">
        <v>16</v>
      </c>
      <c r="B32" s="213" t="s">
        <v>37</v>
      </c>
      <c r="C32" s="214"/>
      <c r="D32" s="241" t="s">
        <v>3</v>
      </c>
      <c r="E32" s="212"/>
      <c r="F32" s="95"/>
      <c r="G32" s="96"/>
    </row>
    <row r="33" spans="1:7" s="93" customFormat="1" ht="30" customHeight="1">
      <c r="A33" s="98" t="s">
        <v>38</v>
      </c>
      <c r="B33" s="213" t="s">
        <v>81</v>
      </c>
      <c r="C33" s="214"/>
      <c r="D33" s="241"/>
      <c r="E33" s="212"/>
      <c r="F33" s="95"/>
      <c r="G33" s="96"/>
    </row>
    <row r="34" spans="1:7" s="93" customFormat="1" ht="18" customHeight="1">
      <c r="A34" s="97" t="s">
        <v>17</v>
      </c>
      <c r="B34" s="213" t="s">
        <v>40</v>
      </c>
      <c r="C34" s="214"/>
      <c r="D34" s="241"/>
      <c r="E34" s="212"/>
      <c r="F34" s="95"/>
      <c r="G34" s="96"/>
    </row>
    <row r="35" spans="1:7" s="93" customFormat="1" ht="30" customHeight="1">
      <c r="A35" s="98" t="s">
        <v>41</v>
      </c>
      <c r="B35" s="213" t="s">
        <v>42</v>
      </c>
      <c r="C35" s="214"/>
      <c r="D35" s="241" t="s">
        <v>2</v>
      </c>
      <c r="E35" s="212"/>
      <c r="F35" s="95"/>
      <c r="G35" s="96"/>
    </row>
    <row r="36" spans="1:6" s="93" customFormat="1" ht="24" customHeight="1">
      <c r="A36" s="210" t="s">
        <v>15</v>
      </c>
      <c r="B36" s="210"/>
      <c r="C36" s="99"/>
      <c r="D36" s="100" t="s">
        <v>19</v>
      </c>
      <c r="E36" s="24" t="s">
        <v>146</v>
      </c>
      <c r="F36" s="102"/>
    </row>
  </sheetData>
  <sheetProtection selectLockedCells="1"/>
  <mergeCells count="28">
    <mergeCell ref="C27:E27"/>
    <mergeCell ref="D35:E35"/>
    <mergeCell ref="D29:E29"/>
    <mergeCell ref="D30:E30"/>
    <mergeCell ref="D31:E31"/>
    <mergeCell ref="D34:E34"/>
    <mergeCell ref="D32:E32"/>
    <mergeCell ref="D33:E33"/>
    <mergeCell ref="A1:E1"/>
    <mergeCell ref="B29:C29"/>
    <mergeCell ref="A28:E28"/>
    <mergeCell ref="A12:E12"/>
    <mergeCell ref="A17:E17"/>
    <mergeCell ref="A24:E24"/>
    <mergeCell ref="A3:C3"/>
    <mergeCell ref="B2:C2"/>
    <mergeCell ref="A27:B27"/>
    <mergeCell ref="C22:E23"/>
    <mergeCell ref="D4:E4"/>
    <mergeCell ref="B4:C4"/>
    <mergeCell ref="A36:B36"/>
    <mergeCell ref="B30:C30"/>
    <mergeCell ref="B31:C31"/>
    <mergeCell ref="B34:C34"/>
    <mergeCell ref="B35:C35"/>
    <mergeCell ref="B32:C32"/>
    <mergeCell ref="B33:C33"/>
    <mergeCell ref="A8:E8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3"/>
  </sheetPr>
  <dimension ref="A1:G38"/>
  <sheetViews>
    <sheetView showGridLines="0" zoomScale="75" zoomScaleNormal="75" zoomScalePageLayoutView="0" workbookViewId="0" topLeftCell="A4">
      <selection activeCell="A8" sqref="A8:E8"/>
    </sheetView>
  </sheetViews>
  <sheetFormatPr defaultColWidth="9.00390625" defaultRowHeight="12.75"/>
  <cols>
    <col min="1" max="1" width="34.25390625" style="63" customWidth="1"/>
    <col min="2" max="2" width="14.75390625" style="63" customWidth="1"/>
    <col min="3" max="3" width="14.125" style="63" customWidth="1"/>
    <col min="4" max="4" width="13.375" style="63" customWidth="1"/>
    <col min="5" max="5" width="14.75390625" style="63" customWidth="1"/>
    <col min="6" max="16384" width="9.125" style="63" customWidth="1"/>
  </cols>
  <sheetData>
    <row r="1" spans="1:5" ht="39" customHeight="1">
      <c r="A1" s="218" t="s">
        <v>116</v>
      </c>
      <c r="B1" s="219"/>
      <c r="C1" s="219"/>
      <c r="D1" s="219"/>
      <c r="E1" s="219"/>
    </row>
    <row r="2" spans="1:5" ht="15" customHeight="1">
      <c r="A2" s="64" t="s">
        <v>28</v>
      </c>
      <c r="B2" s="232">
        <f ca="1">TODAY()</f>
        <v>43794</v>
      </c>
      <c r="C2" s="233"/>
      <c r="D2" s="65" t="s">
        <v>7</v>
      </c>
      <c r="E2" s="66">
        <v>100</v>
      </c>
    </row>
    <row r="3" spans="1:5" ht="15.75" customHeight="1">
      <c r="A3" s="229" t="s">
        <v>29</v>
      </c>
      <c r="B3" s="230"/>
      <c r="C3" s="231"/>
      <c r="D3" s="64" t="s">
        <v>21</v>
      </c>
      <c r="E3" s="66"/>
    </row>
    <row r="4" spans="1:5" ht="15.75" customHeight="1">
      <c r="A4" s="103" t="s">
        <v>54</v>
      </c>
      <c r="B4" s="209" t="s">
        <v>55</v>
      </c>
      <c r="C4" s="209"/>
      <c r="D4" s="209" t="s">
        <v>20</v>
      </c>
      <c r="E4" s="209"/>
    </row>
    <row r="5" spans="1:5" ht="33.75" customHeight="1">
      <c r="A5" s="68" t="s">
        <v>8</v>
      </c>
      <c r="B5" s="68" t="s">
        <v>5</v>
      </c>
      <c r="C5" s="68" t="s">
        <v>9</v>
      </c>
      <c r="D5" s="68" t="s">
        <v>6</v>
      </c>
      <c r="E5" s="68" t="s">
        <v>10</v>
      </c>
    </row>
    <row r="6" spans="1:5" ht="16.5" customHeight="1">
      <c r="A6" s="69" t="s">
        <v>0</v>
      </c>
      <c r="B6" s="70">
        <f>E2-SUM(B7:B24)</f>
        <v>29.440000000000012</v>
      </c>
      <c r="C6" s="71"/>
      <c r="D6" s="71"/>
      <c r="E6" s="71"/>
    </row>
    <row r="7" spans="1:5" ht="16.5" customHeight="1">
      <c r="A7" s="72" t="str">
        <f>Сырьё!B16</f>
        <v>Polycol  WP-20B</v>
      </c>
      <c r="B7" s="85">
        <f>E2*0.003</f>
        <v>0.3</v>
      </c>
      <c r="C7" s="74"/>
      <c r="D7" s="74"/>
      <c r="E7" s="74"/>
    </row>
    <row r="8" spans="1:5" ht="15.75" customHeight="1">
      <c r="A8" s="215" t="s">
        <v>90</v>
      </c>
      <c r="B8" s="216"/>
      <c r="C8" s="216"/>
      <c r="D8" s="216"/>
      <c r="E8" s="217"/>
    </row>
    <row r="9" spans="1:5" ht="16.5" customHeight="1">
      <c r="A9" s="69" t="s">
        <v>30</v>
      </c>
      <c r="B9" s="70">
        <f>E2*0.015</f>
        <v>1.5</v>
      </c>
      <c r="C9" s="71"/>
      <c r="D9" s="71"/>
      <c r="E9" s="71"/>
    </row>
    <row r="10" spans="1:5" ht="16.5" customHeight="1">
      <c r="A10" s="75" t="str">
        <f>Сырьё!B5</f>
        <v>Диспергатор Opotan N4045</v>
      </c>
      <c r="B10" s="76">
        <f>E2*0.0015</f>
        <v>0.15</v>
      </c>
      <c r="C10" s="77"/>
      <c r="D10" s="77"/>
      <c r="E10" s="77"/>
    </row>
    <row r="11" spans="1:5" ht="16.5" customHeight="1">
      <c r="A11" s="75" t="s">
        <v>52</v>
      </c>
      <c r="B11" s="76">
        <f>E2*0.0001</f>
        <v>0.01</v>
      </c>
      <c r="C11" s="77"/>
      <c r="D11" s="77"/>
      <c r="E11" s="77"/>
    </row>
    <row r="12" spans="1:5" ht="16.5" customHeight="1">
      <c r="A12" s="75" t="s">
        <v>1</v>
      </c>
      <c r="B12" s="76">
        <f>E2*0.015</f>
        <v>1.5</v>
      </c>
      <c r="C12" s="77"/>
      <c r="D12" s="77"/>
      <c r="E12" s="77"/>
    </row>
    <row r="13" spans="1:5" ht="17.25" customHeight="1">
      <c r="A13" s="223" t="s">
        <v>86</v>
      </c>
      <c r="B13" s="224"/>
      <c r="C13" s="224"/>
      <c r="D13" s="224"/>
      <c r="E13" s="225"/>
    </row>
    <row r="14" spans="1:5" ht="16.5" customHeight="1">
      <c r="A14" s="69" t="s">
        <v>83</v>
      </c>
      <c r="B14" s="70">
        <f>E2*0.0005</f>
        <v>0.05</v>
      </c>
      <c r="C14" s="71"/>
      <c r="D14" s="71"/>
      <c r="E14" s="71"/>
    </row>
    <row r="15" spans="1:5" ht="16.5" customHeight="1">
      <c r="A15" s="69" t="str">
        <f>Сырьё!B8</f>
        <v>Lomon  R996</v>
      </c>
      <c r="B15" s="70">
        <f>E2*0.02</f>
        <v>2</v>
      </c>
      <c r="C15" s="71"/>
      <c r="D15" s="71"/>
      <c r="E15" s="71"/>
    </row>
    <row r="16" spans="1:5" ht="16.5" customHeight="1">
      <c r="A16" s="75" t="str">
        <f>'[5]Сырьё'!B12</f>
        <v>Кальцит ТС-1</v>
      </c>
      <c r="B16" s="76">
        <f>E2*0.4</f>
        <v>40</v>
      </c>
      <c r="C16" s="77"/>
      <c r="D16" s="77"/>
      <c r="E16" s="77"/>
    </row>
    <row r="17" spans="1:5" ht="16.5" customHeight="1">
      <c r="A17" s="75" t="str">
        <f>Сырьё!B12</f>
        <v>Omyacarb 5UR</v>
      </c>
      <c r="B17" s="76">
        <f>E2*0.15</f>
        <v>15</v>
      </c>
      <c r="C17" s="77"/>
      <c r="D17" s="77"/>
      <c r="E17" s="77"/>
    </row>
    <row r="18" spans="1:5" ht="16.5" customHeight="1">
      <c r="A18" s="72" t="s">
        <v>99</v>
      </c>
      <c r="B18" s="85">
        <f>E2*0.005</f>
        <v>0.5</v>
      </c>
      <c r="C18" s="74"/>
      <c r="D18" s="74"/>
      <c r="E18" s="74"/>
    </row>
    <row r="19" spans="1:5" ht="17.25" customHeight="1">
      <c r="A19" s="215" t="s">
        <v>89</v>
      </c>
      <c r="B19" s="216"/>
      <c r="C19" s="216"/>
      <c r="D19" s="216"/>
      <c r="E19" s="217"/>
    </row>
    <row r="20" spans="1:5" ht="16.5" customHeight="1">
      <c r="A20" s="69" t="str">
        <f>Сырьё!B4</f>
        <v>DL-430</v>
      </c>
      <c r="B20" s="70">
        <f>E2*0.09</f>
        <v>9</v>
      </c>
      <c r="C20" s="84"/>
      <c r="D20" s="84"/>
      <c r="E20" s="84"/>
    </row>
    <row r="21" spans="1:5" ht="16.5" customHeight="1">
      <c r="A21" s="75" t="str">
        <f>'[3]Сырьё'!$B$9</f>
        <v>Консервант Acticide FI</v>
      </c>
      <c r="B21" s="76">
        <f>E2*0.002</f>
        <v>0.2</v>
      </c>
      <c r="C21" s="77"/>
      <c r="D21" s="77"/>
      <c r="E21" s="77"/>
    </row>
    <row r="22" spans="1:5" ht="15.75" customHeight="1">
      <c r="A22" s="75" t="s">
        <v>61</v>
      </c>
      <c r="B22" s="76">
        <f>E2*0.0005</f>
        <v>0.05</v>
      </c>
      <c r="C22" s="77"/>
      <c r="D22" s="77"/>
      <c r="E22" s="77"/>
    </row>
    <row r="23" spans="1:5" ht="16.5" customHeight="1">
      <c r="A23" s="75" t="str">
        <f>'[3]Сырьё'!$B$7</f>
        <v>Пеногаситель Serdas 7015</v>
      </c>
      <c r="B23" s="76">
        <f>E2*0.001</f>
        <v>0.1</v>
      </c>
      <c r="C23" s="77"/>
      <c r="D23" s="77"/>
      <c r="E23" s="77"/>
    </row>
    <row r="24" spans="1:5" ht="16.5" customHeight="1">
      <c r="A24" s="72" t="str">
        <f>Сырьё!B17</f>
        <v>Загуститель Rheovis 112</v>
      </c>
      <c r="B24" s="85">
        <f>E2*0.002</f>
        <v>0.2</v>
      </c>
      <c r="C24" s="235" t="s">
        <v>91</v>
      </c>
      <c r="D24" s="236"/>
      <c r="E24" s="237"/>
    </row>
    <row r="25" spans="1:5" ht="16.5" customHeight="1">
      <c r="A25" s="72" t="s">
        <v>0</v>
      </c>
      <c r="B25" s="85">
        <f>E2*0.002</f>
        <v>0.2</v>
      </c>
      <c r="C25" s="238"/>
      <c r="D25" s="239"/>
      <c r="E25" s="240"/>
    </row>
    <row r="26" spans="1:5" ht="33.75" customHeight="1">
      <c r="A26" s="226" t="s">
        <v>92</v>
      </c>
      <c r="B26" s="227"/>
      <c r="C26" s="227"/>
      <c r="D26" s="227"/>
      <c r="E26" s="228"/>
    </row>
    <row r="27" spans="1:5" ht="16.5" customHeight="1">
      <c r="A27" s="86" t="s">
        <v>11</v>
      </c>
      <c r="B27" s="87">
        <f>SUM(B6:B24)</f>
        <v>100.00000000000001</v>
      </c>
      <c r="C27" s="88"/>
      <c r="D27" s="88"/>
      <c r="E27" s="88"/>
    </row>
    <row r="28" spans="1:5" ht="16.5" customHeight="1">
      <c r="A28" s="89" t="s">
        <v>32</v>
      </c>
      <c r="B28" s="90">
        <f>(B7+B9*0.1+B10*0.4+B11+B15+B16+B17+B20*0.5+(B23+B24)*0.3)*100/E2</f>
        <v>62.11000000000001</v>
      </c>
      <c r="C28" s="91"/>
      <c r="D28" s="91"/>
      <c r="E28" s="91"/>
    </row>
    <row r="29" spans="1:5" ht="21.75" customHeight="1">
      <c r="A29" s="234" t="s">
        <v>45</v>
      </c>
      <c r="B29" s="234"/>
      <c r="C29" s="234" t="s">
        <v>12</v>
      </c>
      <c r="D29" s="234"/>
      <c r="E29" s="234"/>
    </row>
    <row r="30" spans="1:7" s="93" customFormat="1" ht="21.75" customHeight="1">
      <c r="A30" s="222" t="s">
        <v>33</v>
      </c>
      <c r="B30" s="222"/>
      <c r="C30" s="222"/>
      <c r="D30" s="222"/>
      <c r="E30" s="222"/>
      <c r="F30" s="92"/>
      <c r="G30" s="92"/>
    </row>
    <row r="31" spans="1:7" s="93" customFormat="1" ht="39" customHeight="1">
      <c r="A31" s="94" t="s">
        <v>13</v>
      </c>
      <c r="B31" s="220" t="s">
        <v>47</v>
      </c>
      <c r="C31" s="221"/>
      <c r="D31" s="242" t="s">
        <v>14</v>
      </c>
      <c r="E31" s="221"/>
      <c r="F31" s="95"/>
      <c r="G31" s="96"/>
    </row>
    <row r="32" spans="1:7" s="93" customFormat="1" ht="18" customHeight="1">
      <c r="A32" s="97" t="s">
        <v>4</v>
      </c>
      <c r="B32" s="211" t="s">
        <v>34</v>
      </c>
      <c r="C32" s="212"/>
      <c r="D32" s="241" t="s">
        <v>2</v>
      </c>
      <c r="E32" s="212"/>
      <c r="F32" s="95"/>
      <c r="G32" s="96"/>
    </row>
    <row r="33" spans="1:7" s="93" customFormat="1" ht="18" customHeight="1">
      <c r="A33" s="97" t="s">
        <v>35</v>
      </c>
      <c r="B33" s="211" t="s">
        <v>36</v>
      </c>
      <c r="C33" s="212"/>
      <c r="D33" s="241"/>
      <c r="E33" s="212"/>
      <c r="F33" s="95"/>
      <c r="G33" s="96"/>
    </row>
    <row r="34" spans="1:7" s="93" customFormat="1" ht="18" customHeight="1">
      <c r="A34" s="97" t="s">
        <v>16</v>
      </c>
      <c r="B34" s="213" t="s">
        <v>37</v>
      </c>
      <c r="C34" s="214"/>
      <c r="D34" s="241" t="s">
        <v>3</v>
      </c>
      <c r="E34" s="212"/>
      <c r="F34" s="95"/>
      <c r="G34" s="96"/>
    </row>
    <row r="35" spans="1:7" s="93" customFormat="1" ht="30" customHeight="1">
      <c r="A35" s="98" t="s">
        <v>38</v>
      </c>
      <c r="B35" s="213" t="s">
        <v>81</v>
      </c>
      <c r="C35" s="214"/>
      <c r="D35" s="241"/>
      <c r="E35" s="212"/>
      <c r="F35" s="95"/>
      <c r="G35" s="96"/>
    </row>
    <row r="36" spans="1:7" s="93" customFormat="1" ht="18" customHeight="1">
      <c r="A36" s="97" t="s">
        <v>17</v>
      </c>
      <c r="B36" s="213" t="s">
        <v>40</v>
      </c>
      <c r="C36" s="214"/>
      <c r="D36" s="241"/>
      <c r="E36" s="212"/>
      <c r="F36" s="95"/>
      <c r="G36" s="96"/>
    </row>
    <row r="37" spans="1:7" s="93" customFormat="1" ht="30" customHeight="1">
      <c r="A37" s="98" t="s">
        <v>41</v>
      </c>
      <c r="B37" s="213" t="s">
        <v>42</v>
      </c>
      <c r="C37" s="214"/>
      <c r="D37" s="241" t="s">
        <v>2</v>
      </c>
      <c r="E37" s="212"/>
      <c r="F37" s="95"/>
      <c r="G37" s="96"/>
    </row>
    <row r="38" spans="1:6" s="93" customFormat="1" ht="24" customHeight="1">
      <c r="A38" s="210" t="s">
        <v>15</v>
      </c>
      <c r="B38" s="210"/>
      <c r="C38" s="99"/>
      <c r="D38" s="100" t="s">
        <v>19</v>
      </c>
      <c r="E38" s="101" t="s">
        <v>128</v>
      </c>
      <c r="F38" s="102"/>
    </row>
  </sheetData>
  <sheetProtection selectLockedCells="1"/>
  <mergeCells count="28">
    <mergeCell ref="D4:E4"/>
    <mergeCell ref="B4:C4"/>
    <mergeCell ref="A38:B38"/>
    <mergeCell ref="B32:C32"/>
    <mergeCell ref="B33:C33"/>
    <mergeCell ref="B36:C36"/>
    <mergeCell ref="B37:C37"/>
    <mergeCell ref="B34:C34"/>
    <mergeCell ref="B35:C35"/>
    <mergeCell ref="A8:E8"/>
    <mergeCell ref="A1:E1"/>
    <mergeCell ref="B31:C31"/>
    <mergeCell ref="A30:E30"/>
    <mergeCell ref="A13:E13"/>
    <mergeCell ref="A19:E19"/>
    <mergeCell ref="A26:E26"/>
    <mergeCell ref="A3:C3"/>
    <mergeCell ref="B2:C2"/>
    <mergeCell ref="A29:B29"/>
    <mergeCell ref="C24:E25"/>
    <mergeCell ref="C29:E29"/>
    <mergeCell ref="D37:E37"/>
    <mergeCell ref="D31:E31"/>
    <mergeCell ref="D32:E32"/>
    <mergeCell ref="D33:E33"/>
    <mergeCell ref="D36:E36"/>
    <mergeCell ref="D34:E34"/>
    <mergeCell ref="D35:E35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2"/>
  </sheetPr>
  <dimension ref="A1:G40"/>
  <sheetViews>
    <sheetView showGridLines="0" zoomScale="75" zoomScaleNormal="75" zoomScalePageLayoutView="0" workbookViewId="0" topLeftCell="A4">
      <selection activeCell="A9" sqref="A9:E9"/>
    </sheetView>
  </sheetViews>
  <sheetFormatPr defaultColWidth="9.00390625" defaultRowHeight="12.75"/>
  <cols>
    <col min="1" max="1" width="32.75390625" style="2" customWidth="1"/>
    <col min="2" max="5" width="14.75390625" style="2" customWidth="1"/>
    <col min="6" max="16384" width="9.125" style="2" customWidth="1"/>
  </cols>
  <sheetData>
    <row r="1" spans="1:5" ht="45" customHeight="1">
      <c r="A1" s="157" t="s">
        <v>121</v>
      </c>
      <c r="B1" s="180"/>
      <c r="C1" s="180"/>
      <c r="D1" s="180"/>
      <c r="E1" s="180"/>
    </row>
    <row r="2" spans="1:5" ht="20.2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18.75" customHeight="1">
      <c r="A3" s="160" t="s">
        <v>109</v>
      </c>
      <c r="B3" s="161"/>
      <c r="C3" s="162"/>
      <c r="D3" s="5" t="s">
        <v>21</v>
      </c>
      <c r="E3" s="9"/>
    </row>
    <row r="4" spans="1:5" ht="20.25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38.2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7" ht="18" customHeight="1">
      <c r="A6" s="29" t="s">
        <v>0</v>
      </c>
      <c r="B6" s="30">
        <f>E2-SUM(B7:B26)</f>
        <v>11.740000000000009</v>
      </c>
      <c r="C6" s="31"/>
      <c r="D6" s="31"/>
      <c r="E6" s="31"/>
      <c r="G6" s="58" t="s">
        <v>94</v>
      </c>
    </row>
    <row r="7" spans="1:7" ht="18" customHeight="1">
      <c r="A7" s="53" t="s">
        <v>93</v>
      </c>
      <c r="B7" s="54">
        <f>E2*0.2</f>
        <v>20</v>
      </c>
      <c r="C7" s="55"/>
      <c r="D7" s="55"/>
      <c r="E7" s="55"/>
      <c r="G7" s="57">
        <v>0.2</v>
      </c>
    </row>
    <row r="8" spans="1:5" ht="18" customHeight="1">
      <c r="A8" s="32" t="str">
        <f>Сырьё!B16</f>
        <v>Polycol  WP-20B</v>
      </c>
      <c r="B8" s="51">
        <f>E2*0.003</f>
        <v>0.3</v>
      </c>
      <c r="C8" s="34"/>
      <c r="D8" s="34"/>
      <c r="E8" s="34"/>
    </row>
    <row r="9" spans="1:5" ht="17.25" customHeight="1">
      <c r="A9" s="184" t="s">
        <v>87</v>
      </c>
      <c r="B9" s="185"/>
      <c r="C9" s="185"/>
      <c r="D9" s="185"/>
      <c r="E9" s="186"/>
    </row>
    <row r="10" spans="1:5" ht="18" customHeight="1">
      <c r="A10" s="29" t="s">
        <v>30</v>
      </c>
      <c r="B10" s="30">
        <f>E2*0.015</f>
        <v>1.5</v>
      </c>
      <c r="C10" s="31"/>
      <c r="D10" s="31"/>
      <c r="E10" s="31"/>
    </row>
    <row r="11" spans="1:7" ht="18" customHeight="1">
      <c r="A11" s="35" t="str">
        <f>Сырьё!B5</f>
        <v>Диспергатор Opotan N4045</v>
      </c>
      <c r="B11" s="36">
        <f>E2*0.0015</f>
        <v>0.15</v>
      </c>
      <c r="C11" s="37"/>
      <c r="D11" s="37"/>
      <c r="E11" s="37"/>
      <c r="G11" s="27"/>
    </row>
    <row r="12" spans="1:5" ht="18" customHeight="1">
      <c r="A12" s="35" t="s">
        <v>52</v>
      </c>
      <c r="B12" s="36">
        <f>E2*0.0001</f>
        <v>0.01</v>
      </c>
      <c r="C12" s="37"/>
      <c r="D12" s="37"/>
      <c r="E12" s="37"/>
    </row>
    <row r="13" spans="1:5" ht="18" customHeight="1">
      <c r="A13" s="35" t="s">
        <v>1</v>
      </c>
      <c r="B13" s="36">
        <f>E2*0.015</f>
        <v>1.5</v>
      </c>
      <c r="C13" s="37"/>
      <c r="D13" s="37"/>
      <c r="E13" s="37"/>
    </row>
    <row r="14" spans="1:5" ht="18" customHeight="1">
      <c r="A14" s="181" t="s">
        <v>86</v>
      </c>
      <c r="B14" s="182"/>
      <c r="C14" s="182"/>
      <c r="D14" s="182"/>
      <c r="E14" s="183"/>
    </row>
    <row r="15" spans="1:5" ht="18" customHeight="1">
      <c r="A15" s="53" t="s">
        <v>83</v>
      </c>
      <c r="B15" s="54">
        <f>E2*0.0005</f>
        <v>0.05</v>
      </c>
      <c r="C15" s="31"/>
      <c r="D15" s="31"/>
      <c r="E15" s="31"/>
    </row>
    <row r="16" spans="1:5" ht="18" customHeight="1">
      <c r="A16" s="61" t="str">
        <f>Сырьё!B8</f>
        <v>Lomon  R996</v>
      </c>
      <c r="B16" s="30">
        <f>E2*0.03</f>
        <v>3</v>
      </c>
      <c r="C16" s="31"/>
      <c r="D16" s="31"/>
      <c r="E16" s="31"/>
    </row>
    <row r="17" spans="1:5" ht="18" customHeight="1">
      <c r="A17" s="35" t="str">
        <f>Сырьё!B9</f>
        <v>Omyacarb 2-UR</v>
      </c>
      <c r="B17" s="36">
        <f>E2*0.4</f>
        <v>40</v>
      </c>
      <c r="C17" s="31"/>
      <c r="D17" s="31"/>
      <c r="E17" s="31"/>
    </row>
    <row r="18" spans="1:5" ht="18" customHeight="1">
      <c r="A18" s="35" t="str">
        <f>Сырьё!B12</f>
        <v>Omyacarb 5UR</v>
      </c>
      <c r="B18" s="36">
        <f>E2*0.16</f>
        <v>16</v>
      </c>
      <c r="C18" s="31"/>
      <c r="D18" s="31"/>
      <c r="E18" s="31"/>
    </row>
    <row r="19" spans="1:5" ht="16.5" customHeight="1">
      <c r="A19" s="35" t="s">
        <v>80</v>
      </c>
      <c r="B19" s="36">
        <f>E2*0.005</f>
        <v>0.5</v>
      </c>
      <c r="C19" s="34"/>
      <c r="D19" s="34"/>
      <c r="E19" s="34"/>
    </row>
    <row r="20" spans="1:5" ht="17.25" customHeight="1">
      <c r="A20" s="184" t="s">
        <v>88</v>
      </c>
      <c r="B20" s="185"/>
      <c r="C20" s="185"/>
      <c r="D20" s="185"/>
      <c r="E20" s="186"/>
    </row>
    <row r="21" spans="1:5" ht="16.5" customHeight="1">
      <c r="A21" s="53" t="s">
        <v>83</v>
      </c>
      <c r="B21" s="54">
        <f>E2*0.001</f>
        <v>0.1</v>
      </c>
      <c r="C21" s="55"/>
      <c r="D21" s="55"/>
      <c r="E21" s="55"/>
    </row>
    <row r="22" spans="1:5" ht="18" customHeight="1">
      <c r="A22" s="29" t="str">
        <f>Сырьё!B4</f>
        <v>DL-430</v>
      </c>
      <c r="B22" s="30">
        <f>E2*((6.3-G7*20)/50)</f>
        <v>4.6</v>
      </c>
      <c r="C22" s="38"/>
      <c r="D22" s="38"/>
      <c r="E22" s="38"/>
    </row>
    <row r="23" spans="1:5" ht="18" customHeight="1">
      <c r="A23" s="35" t="str">
        <f>'[2]Сырьё'!$B$7</f>
        <v>Консервант Acticide FI</v>
      </c>
      <c r="B23" s="36">
        <f>E2*0.002</f>
        <v>0.2</v>
      </c>
      <c r="C23" s="37"/>
      <c r="D23" s="37"/>
      <c r="E23" s="37"/>
    </row>
    <row r="24" spans="1:5" ht="15.75" customHeight="1">
      <c r="A24" s="35" t="s">
        <v>61</v>
      </c>
      <c r="B24" s="36">
        <f>E2*0.0005</f>
        <v>0.05</v>
      </c>
      <c r="C24" s="37"/>
      <c r="D24" s="37"/>
      <c r="E24" s="37"/>
    </row>
    <row r="25" spans="1:5" ht="18" customHeight="1">
      <c r="A25" s="35" t="str">
        <f>'[2]Сырьё'!$B$6</f>
        <v>Пеногаситель Serdas 7015</v>
      </c>
      <c r="B25" s="36">
        <f>E2*0.001</f>
        <v>0.1</v>
      </c>
      <c r="C25" s="37"/>
      <c r="D25" s="37"/>
      <c r="E25" s="37"/>
    </row>
    <row r="26" spans="1:5" ht="16.5" customHeight="1">
      <c r="A26" s="32" t="str">
        <f>Сырьё!B17</f>
        <v>Загуститель Rheovis 112</v>
      </c>
      <c r="B26" s="33">
        <f>E2*0.002</f>
        <v>0.2</v>
      </c>
      <c r="C26" s="203" t="s">
        <v>85</v>
      </c>
      <c r="D26" s="204"/>
      <c r="E26" s="205"/>
    </row>
    <row r="27" spans="1:5" ht="16.5" customHeight="1">
      <c r="A27" s="72" t="s">
        <v>0</v>
      </c>
      <c r="B27" s="33">
        <f>E2*0.002</f>
        <v>0.2</v>
      </c>
      <c r="C27" s="206"/>
      <c r="D27" s="207"/>
      <c r="E27" s="208"/>
    </row>
    <row r="28" spans="1:5" ht="33" customHeight="1">
      <c r="A28" s="200" t="s">
        <v>53</v>
      </c>
      <c r="B28" s="201"/>
      <c r="C28" s="201"/>
      <c r="D28" s="201"/>
      <c r="E28" s="202"/>
    </row>
    <row r="29" spans="1:5" ht="18" customHeight="1">
      <c r="A29" s="4" t="s">
        <v>11</v>
      </c>
      <c r="B29" s="3">
        <f>SUM(B6:B26)</f>
        <v>99.99999999999999</v>
      </c>
      <c r="C29" s="1"/>
      <c r="D29" s="1"/>
      <c r="E29" s="1"/>
    </row>
    <row r="30" spans="1:5" ht="21.75" customHeight="1">
      <c r="A30" s="12" t="s">
        <v>32</v>
      </c>
      <c r="B30" s="13">
        <f>(B7*G7+B8+B10*0.1+B11*0.4+B12+B18+B19+B22*0.5+(B25+B26)*0.3)*100/E2</f>
        <v>23.41</v>
      </c>
      <c r="C30" s="14"/>
      <c r="D30" s="14"/>
      <c r="E30" s="14"/>
    </row>
    <row r="31" spans="1:5" ht="12" customHeight="1">
      <c r="A31" s="148" t="s">
        <v>45</v>
      </c>
      <c r="B31" s="148"/>
      <c r="C31" s="148" t="s">
        <v>12</v>
      </c>
      <c r="D31" s="148"/>
      <c r="E31" s="148"/>
    </row>
    <row r="32" spans="1:7" s="16" customFormat="1" ht="17.25" customHeight="1">
      <c r="A32" s="163" t="s">
        <v>33</v>
      </c>
      <c r="B32" s="163"/>
      <c r="C32" s="163"/>
      <c r="D32" s="163"/>
      <c r="E32" s="163"/>
      <c r="F32" s="15"/>
      <c r="G32" s="15"/>
    </row>
    <row r="33" spans="1:7" s="16" customFormat="1" ht="36" customHeight="1">
      <c r="A33" s="17" t="s">
        <v>13</v>
      </c>
      <c r="B33" s="159" t="s">
        <v>47</v>
      </c>
      <c r="C33" s="152"/>
      <c r="D33" s="151" t="s">
        <v>14</v>
      </c>
      <c r="E33" s="152"/>
      <c r="F33" s="18"/>
      <c r="G33" s="19"/>
    </row>
    <row r="34" spans="1:7" s="16" customFormat="1" ht="18" customHeight="1">
      <c r="A34" s="20" t="s">
        <v>4</v>
      </c>
      <c r="B34" s="197" t="s">
        <v>34</v>
      </c>
      <c r="C34" s="179"/>
      <c r="D34" s="178" t="s">
        <v>2</v>
      </c>
      <c r="E34" s="179"/>
      <c r="F34" s="18"/>
      <c r="G34" s="19"/>
    </row>
    <row r="35" spans="1:7" s="16" customFormat="1" ht="18" customHeight="1">
      <c r="A35" s="20" t="s">
        <v>35</v>
      </c>
      <c r="B35" s="197" t="s">
        <v>36</v>
      </c>
      <c r="C35" s="179"/>
      <c r="D35" s="178"/>
      <c r="E35" s="179"/>
      <c r="F35" s="18"/>
      <c r="G35" s="19"/>
    </row>
    <row r="36" spans="1:7" s="16" customFormat="1" ht="18" customHeight="1">
      <c r="A36" s="20" t="s">
        <v>16</v>
      </c>
      <c r="B36" s="198" t="s">
        <v>37</v>
      </c>
      <c r="C36" s="199"/>
      <c r="D36" s="178" t="s">
        <v>3</v>
      </c>
      <c r="E36" s="179"/>
      <c r="F36" s="18"/>
      <c r="G36" s="19"/>
    </row>
    <row r="37" spans="1:7" s="16" customFormat="1" ht="30" customHeight="1">
      <c r="A37" s="21" t="s">
        <v>38</v>
      </c>
      <c r="B37" s="198" t="s">
        <v>81</v>
      </c>
      <c r="C37" s="199"/>
      <c r="D37" s="178"/>
      <c r="E37" s="179"/>
      <c r="F37" s="18"/>
      <c r="G37" s="19"/>
    </row>
    <row r="38" spans="1:7" s="16" customFormat="1" ht="18" customHeight="1">
      <c r="A38" s="20" t="s">
        <v>17</v>
      </c>
      <c r="B38" s="198" t="s">
        <v>40</v>
      </c>
      <c r="C38" s="199"/>
      <c r="D38" s="178"/>
      <c r="E38" s="179"/>
      <c r="F38" s="18"/>
      <c r="G38" s="19"/>
    </row>
    <row r="39" spans="1:7" s="16" customFormat="1" ht="27" customHeight="1">
      <c r="A39" s="21" t="s">
        <v>41</v>
      </c>
      <c r="B39" s="198" t="s">
        <v>42</v>
      </c>
      <c r="C39" s="199"/>
      <c r="D39" s="178" t="s">
        <v>2</v>
      </c>
      <c r="E39" s="179"/>
      <c r="F39" s="18"/>
      <c r="G39" s="19"/>
    </row>
    <row r="40" spans="1:6" s="16" customFormat="1" ht="24" customHeight="1">
      <c r="A40" s="171" t="s">
        <v>15</v>
      </c>
      <c r="B40" s="171"/>
      <c r="C40" s="22"/>
      <c r="D40" s="23" t="s">
        <v>19</v>
      </c>
      <c r="E40" s="24" t="s">
        <v>110</v>
      </c>
      <c r="F40" s="25"/>
    </row>
  </sheetData>
  <sheetProtection selectLockedCells="1"/>
  <mergeCells count="28">
    <mergeCell ref="C31:E31"/>
    <mergeCell ref="A40:B40"/>
    <mergeCell ref="B34:C34"/>
    <mergeCell ref="B35:C35"/>
    <mergeCell ref="B38:C38"/>
    <mergeCell ref="B39:C39"/>
    <mergeCell ref="B36:C36"/>
    <mergeCell ref="B37:C37"/>
    <mergeCell ref="A1:E1"/>
    <mergeCell ref="B33:C33"/>
    <mergeCell ref="A32:E32"/>
    <mergeCell ref="A20:E20"/>
    <mergeCell ref="A28:E28"/>
    <mergeCell ref="A3:C3"/>
    <mergeCell ref="B2:C2"/>
    <mergeCell ref="A31:B31"/>
    <mergeCell ref="A9:E9"/>
    <mergeCell ref="C26:E27"/>
    <mergeCell ref="D4:E4"/>
    <mergeCell ref="D39:E39"/>
    <mergeCell ref="D33:E33"/>
    <mergeCell ref="D34:E34"/>
    <mergeCell ref="D35:E35"/>
    <mergeCell ref="D38:E38"/>
    <mergeCell ref="D36:E36"/>
    <mergeCell ref="D37:E37"/>
    <mergeCell ref="A14:E14"/>
    <mergeCell ref="B4:C4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3"/>
  </sheetPr>
  <dimension ref="A1:G37"/>
  <sheetViews>
    <sheetView showGridLines="0" zoomScale="75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33.875" style="63" customWidth="1"/>
    <col min="2" max="2" width="14.75390625" style="63" customWidth="1"/>
    <col min="3" max="3" width="13.125" style="63" customWidth="1"/>
    <col min="4" max="5" width="14.75390625" style="63" customWidth="1"/>
    <col min="6" max="16384" width="9.125" style="63" customWidth="1"/>
  </cols>
  <sheetData>
    <row r="1" spans="1:5" ht="45" customHeight="1">
      <c r="A1" s="218" t="s">
        <v>145</v>
      </c>
      <c r="B1" s="219"/>
      <c r="C1" s="219"/>
      <c r="D1" s="219"/>
      <c r="E1" s="219"/>
    </row>
    <row r="2" spans="1:5" ht="18.75" customHeight="1">
      <c r="A2" s="64" t="s">
        <v>28</v>
      </c>
      <c r="B2" s="232">
        <f ca="1">TODAY()</f>
        <v>43794</v>
      </c>
      <c r="C2" s="233"/>
      <c r="D2" s="65" t="s">
        <v>7</v>
      </c>
      <c r="E2" s="66">
        <v>2000</v>
      </c>
    </row>
    <row r="3" spans="1:5" ht="18.75" customHeight="1">
      <c r="A3" s="229" t="s">
        <v>29</v>
      </c>
      <c r="B3" s="230"/>
      <c r="C3" s="231"/>
      <c r="D3" s="64" t="s">
        <v>21</v>
      </c>
      <c r="E3" s="66"/>
    </row>
    <row r="4" spans="1:5" ht="18.75" customHeight="1">
      <c r="A4" s="67" t="s">
        <v>54</v>
      </c>
      <c r="B4" s="209" t="s">
        <v>55</v>
      </c>
      <c r="C4" s="209"/>
      <c r="D4" s="209" t="s">
        <v>20</v>
      </c>
      <c r="E4" s="209"/>
    </row>
    <row r="5" spans="1:5" ht="42" customHeight="1">
      <c r="A5" s="68" t="s">
        <v>8</v>
      </c>
      <c r="B5" s="68" t="s">
        <v>5</v>
      </c>
      <c r="C5" s="68" t="s">
        <v>9</v>
      </c>
      <c r="D5" s="68" t="s">
        <v>6</v>
      </c>
      <c r="E5" s="68" t="s">
        <v>10</v>
      </c>
    </row>
    <row r="6" spans="1:5" ht="15.75" customHeight="1">
      <c r="A6" s="69" t="s">
        <v>0</v>
      </c>
      <c r="B6" s="70">
        <f>E2-SUM(B7:B23)</f>
        <v>507.79999999999995</v>
      </c>
      <c r="C6" s="71"/>
      <c r="D6" s="71"/>
      <c r="E6" s="71"/>
    </row>
    <row r="7" spans="1:5" ht="15.75" customHeight="1">
      <c r="A7" s="72" t="str">
        <f>Сырьё!B16</f>
        <v>Polycol  WP-20B</v>
      </c>
      <c r="B7" s="73">
        <f>E2*0.003</f>
        <v>6</v>
      </c>
      <c r="C7" s="74"/>
      <c r="D7" s="74"/>
      <c r="E7" s="74"/>
    </row>
    <row r="8" spans="1:5" ht="17.25" customHeight="1">
      <c r="A8" s="215" t="s">
        <v>90</v>
      </c>
      <c r="B8" s="216"/>
      <c r="C8" s="216"/>
      <c r="D8" s="216"/>
      <c r="E8" s="217"/>
    </row>
    <row r="9" spans="1:5" ht="15.75" customHeight="1">
      <c r="A9" s="69" t="s">
        <v>30</v>
      </c>
      <c r="B9" s="70">
        <f>E2*0.015</f>
        <v>30</v>
      </c>
      <c r="C9" s="71"/>
      <c r="D9" s="71"/>
      <c r="E9" s="71"/>
    </row>
    <row r="10" spans="1:5" ht="15.75" customHeight="1">
      <c r="A10" s="75" t="str">
        <f>Сырьё!B5</f>
        <v>Диспергатор Opotan N4045</v>
      </c>
      <c r="B10" s="76">
        <f>E2*0.0015</f>
        <v>3</v>
      </c>
      <c r="C10" s="77"/>
      <c r="D10" s="78"/>
      <c r="E10" s="77"/>
    </row>
    <row r="11" spans="1:5" ht="15.75" customHeight="1">
      <c r="A11" s="75" t="s">
        <v>52</v>
      </c>
      <c r="B11" s="79">
        <f>E2*0.0001</f>
        <v>0.2</v>
      </c>
      <c r="C11" s="77"/>
      <c r="D11" s="77"/>
      <c r="E11" s="77"/>
    </row>
    <row r="12" spans="1:5" ht="15.75" customHeight="1">
      <c r="A12" s="223" t="s">
        <v>86</v>
      </c>
      <c r="B12" s="224"/>
      <c r="C12" s="224"/>
      <c r="D12" s="224"/>
      <c r="E12" s="225"/>
    </row>
    <row r="13" spans="1:5" ht="15.75" customHeight="1">
      <c r="A13" s="80" t="s">
        <v>83</v>
      </c>
      <c r="B13" s="81">
        <f>E2*0.0005</f>
        <v>1</v>
      </c>
      <c r="C13" s="82"/>
      <c r="D13" s="82"/>
      <c r="E13" s="82"/>
    </row>
    <row r="14" spans="1:5" ht="15.75" customHeight="1">
      <c r="A14" s="69" t="str">
        <f>Сырьё!B8</f>
        <v>Lomon  R996</v>
      </c>
      <c r="B14" s="70">
        <f>E2*0.03</f>
        <v>60</v>
      </c>
      <c r="C14" s="71"/>
      <c r="D14" s="71"/>
      <c r="E14" s="71"/>
    </row>
    <row r="15" spans="1:5" ht="15.75" customHeight="1">
      <c r="A15" s="75" t="str">
        <f>Сырьё!B9</f>
        <v>Omyacarb 2-UR</v>
      </c>
      <c r="B15" s="76">
        <f>E2*0.4</f>
        <v>800</v>
      </c>
      <c r="C15" s="77"/>
      <c r="D15" s="77"/>
      <c r="E15" s="77"/>
    </row>
    <row r="16" spans="1:5" ht="15.75" customHeight="1">
      <c r="A16" s="75" t="str">
        <f>Сырьё!B10</f>
        <v>Omyacarb 5UR</v>
      </c>
      <c r="B16" s="76">
        <f>E2*0.16</f>
        <v>320</v>
      </c>
      <c r="C16" s="77"/>
      <c r="D16" s="77"/>
      <c r="E16" s="77"/>
    </row>
    <row r="17" spans="1:5" ht="15.75" customHeight="1">
      <c r="A17" s="75" t="s">
        <v>160</v>
      </c>
      <c r="B17" s="76">
        <f>E2*0.005</f>
        <v>10</v>
      </c>
      <c r="C17" s="77"/>
      <c r="D17" s="77"/>
      <c r="E17" s="77"/>
    </row>
    <row r="18" spans="1:5" ht="17.25" customHeight="1">
      <c r="A18" s="215" t="s">
        <v>89</v>
      </c>
      <c r="B18" s="216"/>
      <c r="C18" s="216"/>
      <c r="D18" s="216"/>
      <c r="E18" s="217"/>
    </row>
    <row r="19" spans="1:5" ht="15.75" customHeight="1">
      <c r="A19" s="69" t="str">
        <f>Сырьё!B4</f>
        <v>DL-430</v>
      </c>
      <c r="B19" s="70">
        <f>E2*0.126</f>
        <v>252</v>
      </c>
      <c r="C19" s="84"/>
      <c r="D19" s="84"/>
      <c r="E19" s="84"/>
    </row>
    <row r="20" spans="1:5" ht="15.75" customHeight="1">
      <c r="A20" s="75" t="str">
        <f>'[3]Сырьё'!$B$9</f>
        <v>Консервант Acticide FI</v>
      </c>
      <c r="B20" s="76">
        <f>E2*0.002</f>
        <v>4</v>
      </c>
      <c r="C20" s="77"/>
      <c r="D20" s="77"/>
      <c r="E20" s="77"/>
    </row>
    <row r="21" spans="1:5" ht="15.75" customHeight="1">
      <c r="A21" s="75" t="s">
        <v>61</v>
      </c>
      <c r="B21" s="76">
        <f>E2*0.0005</f>
        <v>1</v>
      </c>
      <c r="C21" s="77"/>
      <c r="D21" s="77"/>
      <c r="E21" s="77"/>
    </row>
    <row r="22" spans="1:5" ht="15.75" customHeight="1">
      <c r="A22" s="75" t="str">
        <f>'[3]Сырьё'!$B$7</f>
        <v>Пеногаситель Serdas 7015</v>
      </c>
      <c r="B22" s="76">
        <f>E2*0.0015</f>
        <v>3</v>
      </c>
      <c r="C22" s="77"/>
      <c r="D22" s="77"/>
      <c r="E22" s="77"/>
    </row>
    <row r="23" spans="1:5" ht="15.75" customHeight="1">
      <c r="A23" s="72" t="str">
        <f>Сырьё!B17</f>
        <v>Загуститель Rheovis 112</v>
      </c>
      <c r="B23" s="85">
        <f>E2*0.001</f>
        <v>2</v>
      </c>
      <c r="C23" s="235" t="s">
        <v>91</v>
      </c>
      <c r="D23" s="236"/>
      <c r="E23" s="237"/>
    </row>
    <row r="24" spans="1:5" ht="15.75" customHeight="1">
      <c r="A24" s="72" t="s">
        <v>0</v>
      </c>
      <c r="B24" s="85">
        <f>E2*0.001</f>
        <v>2</v>
      </c>
      <c r="C24" s="238"/>
      <c r="D24" s="239"/>
      <c r="E24" s="240"/>
    </row>
    <row r="25" spans="1:5" ht="31.5" customHeight="1">
      <c r="A25" s="226" t="s">
        <v>92</v>
      </c>
      <c r="B25" s="227"/>
      <c r="C25" s="227"/>
      <c r="D25" s="227"/>
      <c r="E25" s="228"/>
    </row>
    <row r="26" spans="1:5" ht="15.75" customHeight="1">
      <c r="A26" s="86" t="s">
        <v>11</v>
      </c>
      <c r="B26" s="87">
        <f>SUM(B6:B23)</f>
        <v>2000</v>
      </c>
      <c r="C26" s="88"/>
      <c r="D26" s="88"/>
      <c r="E26" s="88"/>
    </row>
    <row r="27" spans="1:5" ht="18" customHeight="1">
      <c r="A27" s="89" t="s">
        <v>32</v>
      </c>
      <c r="B27" s="90">
        <f>(B7+B9*0.1+B10*0.4+B11+B14+B15+B16+B19*0.5+(B13+B22+B23)*0.3)*100/E2</f>
        <v>65.91</v>
      </c>
      <c r="C27" s="91"/>
      <c r="D27" s="91"/>
      <c r="E27" s="91"/>
    </row>
    <row r="28" spans="1:5" ht="18" customHeight="1">
      <c r="A28" s="234" t="s">
        <v>45</v>
      </c>
      <c r="B28" s="234"/>
      <c r="C28" s="234" t="s">
        <v>12</v>
      </c>
      <c r="D28" s="234"/>
      <c r="E28" s="234"/>
    </row>
    <row r="29" spans="1:7" s="93" customFormat="1" ht="15.75" customHeight="1">
      <c r="A29" s="222" t="s">
        <v>33</v>
      </c>
      <c r="B29" s="222"/>
      <c r="C29" s="222"/>
      <c r="D29" s="222"/>
      <c r="E29" s="222"/>
      <c r="F29" s="92"/>
      <c r="G29" s="92"/>
    </row>
    <row r="30" spans="1:7" s="93" customFormat="1" ht="42" customHeight="1">
      <c r="A30" s="94" t="s">
        <v>13</v>
      </c>
      <c r="B30" s="220" t="s">
        <v>47</v>
      </c>
      <c r="C30" s="221"/>
      <c r="D30" s="242" t="s">
        <v>14</v>
      </c>
      <c r="E30" s="221"/>
      <c r="F30" s="95"/>
      <c r="G30" s="96"/>
    </row>
    <row r="31" spans="1:7" s="93" customFormat="1" ht="18" customHeight="1">
      <c r="A31" s="97" t="s">
        <v>4</v>
      </c>
      <c r="B31" s="211" t="s">
        <v>34</v>
      </c>
      <c r="C31" s="212"/>
      <c r="D31" s="241" t="s">
        <v>2</v>
      </c>
      <c r="E31" s="212"/>
      <c r="F31" s="95"/>
      <c r="G31" s="96"/>
    </row>
    <row r="32" spans="1:7" s="93" customFormat="1" ht="18" customHeight="1">
      <c r="A32" s="97" t="s">
        <v>35</v>
      </c>
      <c r="B32" s="211" t="s">
        <v>36</v>
      </c>
      <c r="C32" s="212"/>
      <c r="D32" s="241"/>
      <c r="E32" s="212"/>
      <c r="F32" s="95"/>
      <c r="G32" s="96"/>
    </row>
    <row r="33" spans="1:7" s="93" customFormat="1" ht="18" customHeight="1">
      <c r="A33" s="97" t="s">
        <v>16</v>
      </c>
      <c r="B33" s="213" t="s">
        <v>37</v>
      </c>
      <c r="C33" s="214"/>
      <c r="D33" s="241" t="s">
        <v>3</v>
      </c>
      <c r="E33" s="212"/>
      <c r="F33" s="95"/>
      <c r="G33" s="96"/>
    </row>
    <row r="34" spans="1:7" s="93" customFormat="1" ht="30" customHeight="1">
      <c r="A34" s="98" t="s">
        <v>38</v>
      </c>
      <c r="B34" s="213" t="s">
        <v>81</v>
      </c>
      <c r="C34" s="214"/>
      <c r="D34" s="241"/>
      <c r="E34" s="212"/>
      <c r="F34" s="95"/>
      <c r="G34" s="96"/>
    </row>
    <row r="35" spans="1:7" s="93" customFormat="1" ht="18" customHeight="1">
      <c r="A35" s="97" t="s">
        <v>17</v>
      </c>
      <c r="B35" s="213" t="s">
        <v>40</v>
      </c>
      <c r="C35" s="214"/>
      <c r="D35" s="241"/>
      <c r="E35" s="212"/>
      <c r="F35" s="95"/>
      <c r="G35" s="96"/>
    </row>
    <row r="36" spans="1:7" s="93" customFormat="1" ht="30" customHeight="1">
      <c r="A36" s="98" t="s">
        <v>41</v>
      </c>
      <c r="B36" s="213" t="s">
        <v>42</v>
      </c>
      <c r="C36" s="214"/>
      <c r="D36" s="241" t="s">
        <v>2</v>
      </c>
      <c r="E36" s="212"/>
      <c r="F36" s="95"/>
      <c r="G36" s="96"/>
    </row>
    <row r="37" spans="1:6" s="93" customFormat="1" ht="21" customHeight="1">
      <c r="A37" s="210" t="s">
        <v>15</v>
      </c>
      <c r="B37" s="210"/>
      <c r="C37" s="99"/>
      <c r="D37" s="100" t="s">
        <v>19</v>
      </c>
      <c r="E37" s="24" t="s">
        <v>146</v>
      </c>
      <c r="F37" s="102"/>
    </row>
  </sheetData>
  <sheetProtection selectLockedCells="1"/>
  <mergeCells count="28">
    <mergeCell ref="D4:E4"/>
    <mergeCell ref="B4:C4"/>
    <mergeCell ref="A37:B37"/>
    <mergeCell ref="B31:C31"/>
    <mergeCell ref="B32:C32"/>
    <mergeCell ref="B35:C35"/>
    <mergeCell ref="B36:C36"/>
    <mergeCell ref="B33:C33"/>
    <mergeCell ref="B34:C34"/>
    <mergeCell ref="C23:E24"/>
    <mergeCell ref="A1:E1"/>
    <mergeCell ref="B30:C30"/>
    <mergeCell ref="A29:E29"/>
    <mergeCell ref="A18:E18"/>
    <mergeCell ref="A25:E25"/>
    <mergeCell ref="A3:C3"/>
    <mergeCell ref="B2:C2"/>
    <mergeCell ref="A28:B28"/>
    <mergeCell ref="A8:E8"/>
    <mergeCell ref="A12:E12"/>
    <mergeCell ref="C28:E28"/>
    <mergeCell ref="D36:E36"/>
    <mergeCell ref="D30:E30"/>
    <mergeCell ref="D31:E31"/>
    <mergeCell ref="D32:E32"/>
    <mergeCell ref="D35:E35"/>
    <mergeCell ref="D33:E33"/>
    <mergeCell ref="D34:E34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N37"/>
  <sheetViews>
    <sheetView showGridLines="0" zoomScale="75" zoomScaleNormal="75" zoomScalePageLayoutView="0" workbookViewId="0" topLeftCell="A1">
      <selection activeCell="K28" sqref="K28"/>
    </sheetView>
  </sheetViews>
  <sheetFormatPr defaultColWidth="9.00390625" defaultRowHeight="12.75"/>
  <cols>
    <col min="1" max="1" width="33.875" style="63" customWidth="1"/>
    <col min="2" max="2" width="14.00390625" style="63" customWidth="1"/>
    <col min="3" max="3" width="13.75390625" style="63" customWidth="1"/>
    <col min="4" max="5" width="14.75390625" style="63" customWidth="1"/>
    <col min="6" max="6" width="8.375" style="63" customWidth="1"/>
    <col min="7" max="7" width="12.75390625" style="63" customWidth="1"/>
    <col min="8" max="16384" width="9.125" style="63" customWidth="1"/>
  </cols>
  <sheetData>
    <row r="1" spans="1:5" ht="45" customHeight="1">
      <c r="A1" s="218" t="s">
        <v>145</v>
      </c>
      <c r="B1" s="219"/>
      <c r="C1" s="219"/>
      <c r="D1" s="219"/>
      <c r="E1" s="219"/>
    </row>
    <row r="2" spans="1:5" ht="18.75" customHeight="1">
      <c r="A2" s="64" t="s">
        <v>28</v>
      </c>
      <c r="B2" s="232">
        <f ca="1">TODAY()</f>
        <v>43794</v>
      </c>
      <c r="C2" s="233"/>
      <c r="D2" s="65" t="s">
        <v>7</v>
      </c>
      <c r="E2" s="66">
        <v>100</v>
      </c>
    </row>
    <row r="3" spans="1:5" ht="18.75" customHeight="1">
      <c r="A3" s="229" t="s">
        <v>29</v>
      </c>
      <c r="B3" s="230"/>
      <c r="C3" s="231"/>
      <c r="D3" s="64" t="s">
        <v>21</v>
      </c>
      <c r="E3" s="66"/>
    </row>
    <row r="4" spans="1:14" ht="18.75" customHeight="1">
      <c r="A4" s="108" t="s">
        <v>54</v>
      </c>
      <c r="B4" s="209" t="s">
        <v>55</v>
      </c>
      <c r="C4" s="209"/>
      <c r="D4" s="209" t="s">
        <v>20</v>
      </c>
      <c r="E4" s="256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42" customHeight="1">
      <c r="A5" s="68" t="s">
        <v>8</v>
      </c>
      <c r="B5" s="68" t="s">
        <v>5</v>
      </c>
      <c r="C5" s="68" t="s">
        <v>9</v>
      </c>
      <c r="D5" s="68" t="s">
        <v>6</v>
      </c>
      <c r="E5" s="68" t="s">
        <v>10</v>
      </c>
      <c r="F5" s="261"/>
      <c r="G5" s="261"/>
      <c r="H5" s="110"/>
      <c r="I5" s="110"/>
      <c r="J5" s="110"/>
      <c r="K5" s="110"/>
      <c r="L5" s="110"/>
      <c r="M5" s="110"/>
      <c r="N5" s="110"/>
    </row>
    <row r="6" spans="1:14" ht="15.75" customHeight="1">
      <c r="A6" s="69" t="s">
        <v>0</v>
      </c>
      <c r="B6" s="70">
        <f>E2-SUM(B7:B24)</f>
        <v>21.64</v>
      </c>
      <c r="C6" s="71"/>
      <c r="D6" s="71"/>
      <c r="E6" s="71"/>
      <c r="F6" s="260"/>
      <c r="G6" s="261"/>
      <c r="H6" s="111"/>
      <c r="I6" s="111"/>
      <c r="J6" s="111"/>
      <c r="K6" s="111"/>
      <c r="L6" s="111"/>
      <c r="M6" s="111"/>
      <c r="N6" s="111"/>
    </row>
    <row r="7" spans="1:14" ht="15.75" customHeight="1">
      <c r="A7" s="72" t="str">
        <f>'[6]Сырьё'!B15</f>
        <v>Natrosol 250 HBR</v>
      </c>
      <c r="B7" s="73">
        <f>E2*0.003</f>
        <v>0.3</v>
      </c>
      <c r="C7" s="74"/>
      <c r="D7" s="74"/>
      <c r="E7" s="74"/>
      <c r="F7" s="261"/>
      <c r="G7" s="261"/>
      <c r="H7" s="112"/>
      <c r="I7" s="111"/>
      <c r="J7" s="111"/>
      <c r="K7" s="111"/>
      <c r="L7" s="111"/>
      <c r="M7" s="111"/>
      <c r="N7" s="111"/>
    </row>
    <row r="8" spans="1:14" ht="17.25" customHeight="1">
      <c r="A8" s="215" t="s">
        <v>90</v>
      </c>
      <c r="B8" s="216"/>
      <c r="C8" s="216"/>
      <c r="D8" s="216"/>
      <c r="E8" s="217"/>
      <c r="F8" s="260"/>
      <c r="G8" s="261"/>
      <c r="H8" s="111"/>
      <c r="I8" s="111"/>
      <c r="J8" s="111"/>
      <c r="K8" s="111"/>
      <c r="L8" s="111"/>
      <c r="M8" s="111"/>
      <c r="N8" s="111"/>
    </row>
    <row r="9" spans="1:14" ht="15.75" customHeight="1">
      <c r="A9" s="69" t="s">
        <v>30</v>
      </c>
      <c r="B9" s="70">
        <f>E2*0.007</f>
        <v>0.7000000000000001</v>
      </c>
      <c r="C9" s="71"/>
      <c r="D9" s="71"/>
      <c r="E9" s="71"/>
      <c r="F9" s="260"/>
      <c r="G9" s="261"/>
      <c r="H9" s="111"/>
      <c r="I9" s="111"/>
      <c r="J9" s="111"/>
      <c r="K9" s="111"/>
      <c r="L9" s="111"/>
      <c r="M9" s="111"/>
      <c r="N9" s="111"/>
    </row>
    <row r="10" spans="1:14" ht="15.75" customHeight="1">
      <c r="A10" s="75" t="s">
        <v>122</v>
      </c>
      <c r="B10" s="76">
        <f>E2*0.0015</f>
        <v>0.15</v>
      </c>
      <c r="C10" s="77"/>
      <c r="D10" s="77"/>
      <c r="E10" s="77"/>
      <c r="F10" s="261"/>
      <c r="G10" s="261"/>
      <c r="H10" s="111"/>
      <c r="I10" s="111"/>
      <c r="J10" s="111"/>
      <c r="K10" s="111"/>
      <c r="L10" s="111"/>
      <c r="M10" s="111"/>
      <c r="N10" s="111"/>
    </row>
    <row r="11" spans="1:14" ht="15.75" customHeight="1">
      <c r="A11" s="75" t="s">
        <v>52</v>
      </c>
      <c r="B11" s="79">
        <f>E2*0.0001</f>
        <v>0.01</v>
      </c>
      <c r="C11" s="77"/>
      <c r="D11" s="77"/>
      <c r="E11" s="77"/>
      <c r="F11" s="262"/>
      <c r="G11" s="261"/>
      <c r="H11" s="111"/>
      <c r="I11" s="111"/>
      <c r="J11" s="111"/>
      <c r="K11" s="111"/>
      <c r="L11" s="111"/>
      <c r="M11" s="111"/>
      <c r="N11" s="111"/>
    </row>
    <row r="12" spans="1:14" ht="15.75" customHeight="1">
      <c r="A12" s="223" t="s">
        <v>86</v>
      </c>
      <c r="B12" s="224"/>
      <c r="C12" s="224"/>
      <c r="D12" s="224"/>
      <c r="E12" s="225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5" ht="15.75" customHeight="1">
      <c r="A13" s="69" t="str">
        <f>'[6]Сырьё'!B8</f>
        <v>Двуокись титана CR-08</v>
      </c>
      <c r="B13" s="70">
        <f>E2*0.03</f>
        <v>3</v>
      </c>
      <c r="C13" s="71"/>
      <c r="D13" s="71"/>
      <c r="E13" s="71"/>
    </row>
    <row r="14" spans="1:5" ht="15.75" customHeight="1">
      <c r="A14" s="75" t="str">
        <f>'[6]Сырьё'!B6</f>
        <v>Пеногаситель Serdas 7015</v>
      </c>
      <c r="B14" s="114">
        <f>E2*H7</f>
        <v>0</v>
      </c>
      <c r="C14" s="115"/>
      <c r="D14" s="115"/>
      <c r="E14" s="115"/>
    </row>
    <row r="15" spans="1:5" ht="15.75" customHeight="1">
      <c r="A15" s="75" t="str">
        <f>Сырьё!B9</f>
        <v>Omyacarb 2-UR</v>
      </c>
      <c r="B15" s="76">
        <f>E2*0.4</f>
        <v>40</v>
      </c>
      <c r="C15" s="77"/>
      <c r="D15" s="77"/>
      <c r="E15" s="77"/>
    </row>
    <row r="16" spans="1:5" ht="15.75" customHeight="1">
      <c r="A16" s="75" t="s">
        <v>106</v>
      </c>
      <c r="B16" s="76">
        <f>E2*0.16</f>
        <v>16</v>
      </c>
      <c r="C16" s="77"/>
      <c r="D16" s="77"/>
      <c r="E16" s="77"/>
    </row>
    <row r="17" spans="1:5" ht="15.75" customHeight="1">
      <c r="A17" s="116" t="str">
        <f>'[3]Сырьё'!$B$20</f>
        <v>Загуститель Rheovis 112</v>
      </c>
      <c r="B17" s="117">
        <f>E2*0.002</f>
        <v>0.2</v>
      </c>
      <c r="C17" s="77"/>
      <c r="D17" s="77"/>
      <c r="E17" s="77"/>
    </row>
    <row r="18" spans="1:5" ht="15.75" customHeight="1">
      <c r="A18" s="75" t="str">
        <f>'[3]Сырьё'!$B$9</f>
        <v>Консервант Acticide FI</v>
      </c>
      <c r="B18" s="76">
        <f>E2*0.002</f>
        <v>0.2</v>
      </c>
      <c r="C18" s="77"/>
      <c r="D18" s="77"/>
      <c r="E18" s="77"/>
    </row>
    <row r="19" spans="1:5" ht="15.75" customHeight="1">
      <c r="A19" s="75" t="s">
        <v>61</v>
      </c>
      <c r="B19" s="76">
        <f>E2*0.0005</f>
        <v>0.05</v>
      </c>
      <c r="C19" s="77"/>
      <c r="D19" s="77"/>
      <c r="E19" s="77"/>
    </row>
    <row r="20" spans="1:5" ht="15.75" customHeight="1">
      <c r="A20" s="113" t="str">
        <f>'[6]Сырьё'!B6</f>
        <v>Пеногаситель Serdas 7015</v>
      </c>
      <c r="B20" s="76">
        <f>E2*0.0015</f>
        <v>0.15</v>
      </c>
      <c r="C20" s="77"/>
      <c r="D20" s="77"/>
      <c r="E20" s="77"/>
    </row>
    <row r="21" spans="1:5" ht="17.25" customHeight="1">
      <c r="A21" s="215" t="s">
        <v>153</v>
      </c>
      <c r="B21" s="216"/>
      <c r="C21" s="216"/>
      <c r="D21" s="216"/>
      <c r="E21" s="217"/>
    </row>
    <row r="22" spans="1:5" ht="15.75" customHeight="1">
      <c r="A22" s="69" t="str">
        <f>Сырьё!B4</f>
        <v>DL-430</v>
      </c>
      <c r="B22" s="70">
        <f>E2*0.126</f>
        <v>12.6</v>
      </c>
      <c r="C22" s="84"/>
      <c r="D22" s="84"/>
      <c r="E22" s="84"/>
    </row>
    <row r="23" spans="1:5" ht="27.75" customHeight="1">
      <c r="A23" s="257" t="s">
        <v>154</v>
      </c>
      <c r="B23" s="258"/>
      <c r="C23" s="258"/>
      <c r="D23" s="258"/>
      <c r="E23" s="259"/>
    </row>
    <row r="24" spans="1:5" ht="15.75" customHeight="1">
      <c r="A24" s="69" t="s">
        <v>0</v>
      </c>
      <c r="B24" s="70">
        <f>E2*0.05</f>
        <v>5</v>
      </c>
      <c r="C24" s="84"/>
      <c r="D24" s="84"/>
      <c r="E24" s="84"/>
    </row>
    <row r="25" spans="1:5" ht="17.25" customHeight="1">
      <c r="A25" s="226" t="s">
        <v>155</v>
      </c>
      <c r="B25" s="227"/>
      <c r="C25" s="227"/>
      <c r="D25" s="227"/>
      <c r="E25" s="228"/>
    </row>
    <row r="26" spans="1:5" ht="15.75" customHeight="1">
      <c r="A26" s="86" t="s">
        <v>11</v>
      </c>
      <c r="B26" s="87">
        <f>SUM(B6:B24)</f>
        <v>100</v>
      </c>
      <c r="C26" s="88"/>
      <c r="D26" s="88"/>
      <c r="E26" s="88"/>
    </row>
    <row r="27" spans="1:5" ht="18" customHeight="1">
      <c r="A27" s="89" t="s">
        <v>32</v>
      </c>
      <c r="B27" s="90">
        <f>(B7+B9*0.1+B10*0.45+B11+B13+B15+B16+B22*0.5+(B20+B17)*0.3)*100/E2</f>
        <v>65.8525</v>
      </c>
      <c r="C27" s="91"/>
      <c r="D27" s="91"/>
      <c r="E27" s="91"/>
    </row>
    <row r="28" spans="1:5" ht="15" customHeight="1">
      <c r="A28" s="234" t="s">
        <v>45</v>
      </c>
      <c r="B28" s="234"/>
      <c r="C28" s="234" t="s">
        <v>12</v>
      </c>
      <c r="D28" s="234"/>
      <c r="E28" s="234"/>
    </row>
    <row r="29" spans="1:7" s="93" customFormat="1" ht="21.75" customHeight="1">
      <c r="A29" s="222" t="s">
        <v>33</v>
      </c>
      <c r="B29" s="222"/>
      <c r="C29" s="222"/>
      <c r="D29" s="222"/>
      <c r="E29" s="222"/>
      <c r="F29" s="92"/>
      <c r="G29" s="92"/>
    </row>
    <row r="30" spans="1:7" s="93" customFormat="1" ht="46.5" customHeight="1">
      <c r="A30" s="94" t="s">
        <v>13</v>
      </c>
      <c r="B30" s="220" t="s">
        <v>47</v>
      </c>
      <c r="C30" s="221"/>
      <c r="D30" s="242" t="s">
        <v>14</v>
      </c>
      <c r="E30" s="221"/>
      <c r="F30" s="95"/>
      <c r="G30" s="96"/>
    </row>
    <row r="31" spans="1:7" s="93" customFormat="1" ht="18" customHeight="1">
      <c r="A31" s="97" t="s">
        <v>4</v>
      </c>
      <c r="B31" s="211" t="s">
        <v>34</v>
      </c>
      <c r="C31" s="212"/>
      <c r="D31" s="241" t="s">
        <v>2</v>
      </c>
      <c r="E31" s="212"/>
      <c r="F31" s="95"/>
      <c r="G31" s="96"/>
    </row>
    <row r="32" spans="1:7" s="93" customFormat="1" ht="18" customHeight="1">
      <c r="A32" s="97" t="s">
        <v>35</v>
      </c>
      <c r="B32" s="211" t="s">
        <v>36</v>
      </c>
      <c r="C32" s="212"/>
      <c r="D32" s="241"/>
      <c r="E32" s="212"/>
      <c r="F32" s="95"/>
      <c r="G32" s="96"/>
    </row>
    <row r="33" spans="1:7" s="93" customFormat="1" ht="18" customHeight="1">
      <c r="A33" s="97" t="s">
        <v>16</v>
      </c>
      <c r="B33" s="213" t="s">
        <v>37</v>
      </c>
      <c r="C33" s="214"/>
      <c r="D33" s="241" t="s">
        <v>3</v>
      </c>
      <c r="E33" s="212"/>
      <c r="F33" s="95"/>
      <c r="G33" s="96"/>
    </row>
    <row r="34" spans="1:7" s="93" customFormat="1" ht="30" customHeight="1">
      <c r="A34" s="98" t="s">
        <v>38</v>
      </c>
      <c r="B34" s="213" t="s">
        <v>81</v>
      </c>
      <c r="C34" s="214"/>
      <c r="D34" s="241"/>
      <c r="E34" s="212"/>
      <c r="F34" s="95"/>
      <c r="G34" s="96"/>
    </row>
    <row r="35" spans="1:7" s="93" customFormat="1" ht="18" customHeight="1">
      <c r="A35" s="97" t="s">
        <v>17</v>
      </c>
      <c r="B35" s="213" t="s">
        <v>40</v>
      </c>
      <c r="C35" s="214"/>
      <c r="D35" s="241"/>
      <c r="E35" s="212"/>
      <c r="F35" s="95"/>
      <c r="G35" s="96"/>
    </row>
    <row r="36" spans="1:7" s="93" customFormat="1" ht="30" customHeight="1">
      <c r="A36" s="98" t="s">
        <v>41</v>
      </c>
      <c r="B36" s="213" t="s">
        <v>42</v>
      </c>
      <c r="C36" s="214"/>
      <c r="D36" s="241" t="s">
        <v>2</v>
      </c>
      <c r="E36" s="212"/>
      <c r="F36" s="95"/>
      <c r="G36" s="96"/>
    </row>
    <row r="37" spans="1:6" s="93" customFormat="1" ht="21" customHeight="1">
      <c r="A37" s="210" t="s">
        <v>15</v>
      </c>
      <c r="B37" s="210"/>
      <c r="C37" s="99"/>
      <c r="D37" s="100" t="s">
        <v>19</v>
      </c>
      <c r="E37" s="118" t="s">
        <v>156</v>
      </c>
      <c r="F37" s="102"/>
    </row>
  </sheetData>
  <sheetProtection selectLockedCells="1"/>
  <mergeCells count="35">
    <mergeCell ref="F9:G9"/>
    <mergeCell ref="F10:G10"/>
    <mergeCell ref="F11:G11"/>
    <mergeCell ref="F5:G5"/>
    <mergeCell ref="F6:G6"/>
    <mergeCell ref="F7:G7"/>
    <mergeCell ref="F8:G8"/>
    <mergeCell ref="C28:E28"/>
    <mergeCell ref="D36:E36"/>
    <mergeCell ref="D30:E30"/>
    <mergeCell ref="D31:E31"/>
    <mergeCell ref="D32:E32"/>
    <mergeCell ref="D35:E35"/>
    <mergeCell ref="D33:E33"/>
    <mergeCell ref="D34:E34"/>
    <mergeCell ref="A1:E1"/>
    <mergeCell ref="B30:C30"/>
    <mergeCell ref="A29:E29"/>
    <mergeCell ref="A21:E21"/>
    <mergeCell ref="A25:E25"/>
    <mergeCell ref="A3:C3"/>
    <mergeCell ref="B2:C2"/>
    <mergeCell ref="A28:B28"/>
    <mergeCell ref="A8:E8"/>
    <mergeCell ref="A12:E12"/>
    <mergeCell ref="D4:E4"/>
    <mergeCell ref="B4:C4"/>
    <mergeCell ref="A37:B37"/>
    <mergeCell ref="B31:C31"/>
    <mergeCell ref="B32:C32"/>
    <mergeCell ref="B35:C35"/>
    <mergeCell ref="B36:C36"/>
    <mergeCell ref="B33:C33"/>
    <mergeCell ref="B34:C34"/>
    <mergeCell ref="A23:E2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33"/>
  </sheetPr>
  <dimension ref="A1:G37"/>
  <sheetViews>
    <sheetView showGridLines="0" zoomScale="75" zoomScaleNormal="75" zoomScalePageLayoutView="0" workbookViewId="0" topLeftCell="A1">
      <selection activeCell="B9" sqref="B9"/>
    </sheetView>
  </sheetViews>
  <sheetFormatPr defaultColWidth="9.00390625" defaultRowHeight="12.75"/>
  <cols>
    <col min="1" max="1" width="33.875" style="63" customWidth="1"/>
    <col min="2" max="2" width="14.75390625" style="63" customWidth="1"/>
    <col min="3" max="3" width="13.125" style="63" customWidth="1"/>
    <col min="4" max="5" width="14.75390625" style="63" customWidth="1"/>
    <col min="6" max="16384" width="9.125" style="63" customWidth="1"/>
  </cols>
  <sheetData>
    <row r="1" spans="1:5" ht="45" customHeight="1">
      <c r="A1" s="218" t="s">
        <v>145</v>
      </c>
      <c r="B1" s="219"/>
      <c r="C1" s="219"/>
      <c r="D1" s="219"/>
      <c r="E1" s="219"/>
    </row>
    <row r="2" spans="1:5" ht="18.75" customHeight="1">
      <c r="A2" s="64" t="s">
        <v>28</v>
      </c>
      <c r="B2" s="232">
        <f ca="1">TODAY()</f>
        <v>43794</v>
      </c>
      <c r="C2" s="233"/>
      <c r="D2" s="65" t="s">
        <v>7</v>
      </c>
      <c r="E2" s="66">
        <v>100</v>
      </c>
    </row>
    <row r="3" spans="1:5" ht="18.75" customHeight="1">
      <c r="A3" s="229" t="s">
        <v>29</v>
      </c>
      <c r="B3" s="230"/>
      <c r="C3" s="231"/>
      <c r="D3" s="64" t="s">
        <v>21</v>
      </c>
      <c r="E3" s="66"/>
    </row>
    <row r="4" spans="1:5" ht="18.75" customHeight="1">
      <c r="A4" s="67" t="s">
        <v>54</v>
      </c>
      <c r="B4" s="209" t="s">
        <v>55</v>
      </c>
      <c r="C4" s="209"/>
      <c r="D4" s="209" t="s">
        <v>20</v>
      </c>
      <c r="E4" s="209"/>
    </row>
    <row r="5" spans="1:5" ht="42" customHeight="1">
      <c r="A5" s="68" t="s">
        <v>8</v>
      </c>
      <c r="B5" s="68" t="s">
        <v>5</v>
      </c>
      <c r="C5" s="68" t="s">
        <v>9</v>
      </c>
      <c r="D5" s="68" t="s">
        <v>6</v>
      </c>
      <c r="E5" s="68" t="s">
        <v>10</v>
      </c>
    </row>
    <row r="6" spans="1:5" ht="15.75" customHeight="1">
      <c r="A6" s="69" t="s">
        <v>0</v>
      </c>
      <c r="B6" s="70">
        <f>E2-SUM(B7:B23)</f>
        <v>24.840000000000003</v>
      </c>
      <c r="C6" s="71"/>
      <c r="D6" s="71"/>
      <c r="E6" s="71"/>
    </row>
    <row r="7" spans="1:5" ht="15.75" customHeight="1">
      <c r="A7" s="72" t="str">
        <f>Сырьё!B16</f>
        <v>Polycol  WP-20B</v>
      </c>
      <c r="B7" s="73">
        <f>E2*0.0035</f>
        <v>0.35000000000000003</v>
      </c>
      <c r="C7" s="74"/>
      <c r="D7" s="74"/>
      <c r="E7" s="74"/>
    </row>
    <row r="8" spans="1:5" ht="17.25" customHeight="1">
      <c r="A8" s="215" t="s">
        <v>90</v>
      </c>
      <c r="B8" s="216"/>
      <c r="C8" s="216"/>
      <c r="D8" s="216"/>
      <c r="E8" s="217"/>
    </row>
    <row r="9" spans="1:5" ht="15.75" customHeight="1">
      <c r="A9" s="69" t="s">
        <v>30</v>
      </c>
      <c r="B9" s="70">
        <f>E2*0.015</f>
        <v>1.5</v>
      </c>
      <c r="C9" s="71"/>
      <c r="D9" s="71"/>
      <c r="E9" s="71"/>
    </row>
    <row r="10" spans="1:5" ht="15.75" customHeight="1">
      <c r="A10" s="75" t="str">
        <f>Сырьё!B5</f>
        <v>Диспергатор Opotan N4045</v>
      </c>
      <c r="B10" s="76">
        <f>E2*0.0015</f>
        <v>0.15</v>
      </c>
      <c r="C10" s="77"/>
      <c r="D10" s="78"/>
      <c r="E10" s="77"/>
    </row>
    <row r="11" spans="1:5" ht="15.75" customHeight="1">
      <c r="A11" s="75" t="s">
        <v>147</v>
      </c>
      <c r="B11" s="76">
        <f>E2*0.01</f>
        <v>1</v>
      </c>
      <c r="C11" s="77"/>
      <c r="D11" s="78"/>
      <c r="E11" s="77"/>
    </row>
    <row r="12" spans="1:5" ht="15.75" customHeight="1">
      <c r="A12" s="75" t="s">
        <v>52</v>
      </c>
      <c r="B12" s="79">
        <f>E2*0.0001</f>
        <v>0.01</v>
      </c>
      <c r="C12" s="77"/>
      <c r="D12" s="77"/>
      <c r="E12" s="77"/>
    </row>
    <row r="13" spans="1:5" ht="15.75" customHeight="1">
      <c r="A13" s="223" t="s">
        <v>86</v>
      </c>
      <c r="B13" s="224"/>
      <c r="C13" s="224"/>
      <c r="D13" s="224"/>
      <c r="E13" s="225"/>
    </row>
    <row r="14" spans="1:5" ht="15.75" customHeight="1">
      <c r="A14" s="80" t="s">
        <v>83</v>
      </c>
      <c r="B14" s="81">
        <f>E2*0.0005</f>
        <v>0.05</v>
      </c>
      <c r="C14" s="82"/>
      <c r="D14" s="82"/>
      <c r="E14" s="82"/>
    </row>
    <row r="15" spans="1:5" ht="15.75" customHeight="1">
      <c r="A15" s="83" t="str">
        <f>Сырьё!B8</f>
        <v>Lomon  R996</v>
      </c>
      <c r="B15" s="70">
        <f>E2*0.03</f>
        <v>3</v>
      </c>
      <c r="C15" s="71"/>
      <c r="D15" s="71"/>
      <c r="E15" s="71"/>
    </row>
    <row r="16" spans="1:5" ht="15.75" customHeight="1">
      <c r="A16" s="75" t="str">
        <f>Сырьё!B9</f>
        <v>Omyacarb 2-UR</v>
      </c>
      <c r="B16" s="76">
        <f>E2*0.4</f>
        <v>40</v>
      </c>
      <c r="C16" s="77"/>
      <c r="D16" s="77"/>
      <c r="E16" s="77"/>
    </row>
    <row r="17" spans="1:5" ht="15.75" customHeight="1">
      <c r="A17" s="75" t="str">
        <f>Сырьё!B10</f>
        <v>Omyacarb 5UR</v>
      </c>
      <c r="B17" s="76">
        <f>E2*0.16</f>
        <v>16</v>
      </c>
      <c r="C17" s="77"/>
      <c r="D17" s="77"/>
      <c r="E17" s="77"/>
    </row>
    <row r="18" spans="1:5" ht="17.25" customHeight="1">
      <c r="A18" s="215" t="s">
        <v>89</v>
      </c>
      <c r="B18" s="216"/>
      <c r="C18" s="216"/>
      <c r="D18" s="216"/>
      <c r="E18" s="217"/>
    </row>
    <row r="19" spans="1:5" ht="15.75" customHeight="1">
      <c r="A19" s="69" t="str">
        <f>Сырьё!B3</f>
        <v>DL-430</v>
      </c>
      <c r="B19" s="70">
        <f>E2*0.126</f>
        <v>12.6</v>
      </c>
      <c r="C19" s="84"/>
      <c r="D19" s="84"/>
      <c r="E19" s="84"/>
    </row>
    <row r="20" spans="1:5" ht="15.75" customHeight="1">
      <c r="A20" s="75" t="str">
        <f>'[3]Сырьё'!$B$9</f>
        <v>Консервант Acticide FI</v>
      </c>
      <c r="B20" s="76">
        <f>E2*0.002</f>
        <v>0.2</v>
      </c>
      <c r="C20" s="77"/>
      <c r="D20" s="77"/>
      <c r="E20" s="77"/>
    </row>
    <row r="21" spans="1:5" ht="15.75" customHeight="1">
      <c r="A21" s="75" t="s">
        <v>61</v>
      </c>
      <c r="B21" s="76">
        <f>E2*0.0005</f>
        <v>0.05</v>
      </c>
      <c r="C21" s="77"/>
      <c r="D21" s="77"/>
      <c r="E21" s="77"/>
    </row>
    <row r="22" spans="1:5" ht="15.75" customHeight="1">
      <c r="A22" s="75" t="str">
        <f>'[3]Сырьё'!$B$7</f>
        <v>Пеногаситель Serdas 7015</v>
      </c>
      <c r="B22" s="76">
        <f>E2*0.0015</f>
        <v>0.15</v>
      </c>
      <c r="C22" s="77"/>
      <c r="D22" s="77"/>
      <c r="E22" s="77"/>
    </row>
    <row r="23" spans="1:5" ht="15.75" customHeight="1">
      <c r="A23" s="72" t="str">
        <f>Сырьё!B17</f>
        <v>Загуститель Rheovis 112</v>
      </c>
      <c r="B23" s="85">
        <f>E2*0.001</f>
        <v>0.1</v>
      </c>
      <c r="C23" s="235" t="s">
        <v>91</v>
      </c>
      <c r="D23" s="236"/>
      <c r="E23" s="237"/>
    </row>
    <row r="24" spans="1:5" ht="15.75" customHeight="1">
      <c r="A24" s="72" t="s">
        <v>0</v>
      </c>
      <c r="B24" s="85">
        <f>E2*0.001</f>
        <v>0.1</v>
      </c>
      <c r="C24" s="238"/>
      <c r="D24" s="239"/>
      <c r="E24" s="240"/>
    </row>
    <row r="25" spans="1:5" ht="31.5" customHeight="1">
      <c r="A25" s="226" t="s">
        <v>92</v>
      </c>
      <c r="B25" s="227"/>
      <c r="C25" s="227"/>
      <c r="D25" s="227"/>
      <c r="E25" s="228"/>
    </row>
    <row r="26" spans="1:5" ht="15.75" customHeight="1">
      <c r="A26" s="86" t="s">
        <v>11</v>
      </c>
      <c r="B26" s="87">
        <f>SUM(B6:B23)</f>
        <v>100</v>
      </c>
      <c r="C26" s="88"/>
      <c r="D26" s="88"/>
      <c r="E26" s="88"/>
    </row>
    <row r="27" spans="1:5" ht="18" customHeight="1">
      <c r="A27" s="89" t="s">
        <v>32</v>
      </c>
      <c r="B27" s="90">
        <f>(B7+B9*0.1+B10*0.4+B12+B15+B16+B17+B19*0.5+(B14+B22+B23)*0.3)*100/E2</f>
        <v>65.96000000000001</v>
      </c>
      <c r="C27" s="91"/>
      <c r="D27" s="91"/>
      <c r="E27" s="91"/>
    </row>
    <row r="28" spans="1:5" ht="18" customHeight="1">
      <c r="A28" s="234" t="s">
        <v>45</v>
      </c>
      <c r="B28" s="234"/>
      <c r="C28" s="234" t="s">
        <v>12</v>
      </c>
      <c r="D28" s="234"/>
      <c r="E28" s="234"/>
    </row>
    <row r="29" spans="1:7" s="93" customFormat="1" ht="15.75" customHeight="1">
      <c r="A29" s="222" t="s">
        <v>33</v>
      </c>
      <c r="B29" s="222"/>
      <c r="C29" s="222"/>
      <c r="D29" s="222"/>
      <c r="E29" s="222"/>
      <c r="F29" s="92"/>
      <c r="G29" s="92"/>
    </row>
    <row r="30" spans="1:7" s="93" customFormat="1" ht="42" customHeight="1">
      <c r="A30" s="94" t="s">
        <v>13</v>
      </c>
      <c r="B30" s="220" t="s">
        <v>47</v>
      </c>
      <c r="C30" s="221"/>
      <c r="D30" s="242" t="s">
        <v>14</v>
      </c>
      <c r="E30" s="221"/>
      <c r="F30" s="95"/>
      <c r="G30" s="96"/>
    </row>
    <row r="31" spans="1:7" s="93" customFormat="1" ht="18" customHeight="1">
      <c r="A31" s="97" t="s">
        <v>4</v>
      </c>
      <c r="B31" s="211" t="s">
        <v>34</v>
      </c>
      <c r="C31" s="212"/>
      <c r="D31" s="241" t="s">
        <v>2</v>
      </c>
      <c r="E31" s="212"/>
      <c r="F31" s="95"/>
      <c r="G31" s="96"/>
    </row>
    <row r="32" spans="1:7" s="93" customFormat="1" ht="18" customHeight="1">
      <c r="A32" s="97" t="s">
        <v>35</v>
      </c>
      <c r="B32" s="211" t="s">
        <v>36</v>
      </c>
      <c r="C32" s="212"/>
      <c r="D32" s="241"/>
      <c r="E32" s="212"/>
      <c r="F32" s="95"/>
      <c r="G32" s="96"/>
    </row>
    <row r="33" spans="1:7" s="93" customFormat="1" ht="18" customHeight="1">
      <c r="A33" s="97" t="s">
        <v>16</v>
      </c>
      <c r="B33" s="213" t="s">
        <v>37</v>
      </c>
      <c r="C33" s="214"/>
      <c r="D33" s="241" t="s">
        <v>3</v>
      </c>
      <c r="E33" s="212"/>
      <c r="F33" s="95"/>
      <c r="G33" s="96"/>
    </row>
    <row r="34" spans="1:7" s="93" customFormat="1" ht="30" customHeight="1">
      <c r="A34" s="98" t="s">
        <v>38</v>
      </c>
      <c r="B34" s="213" t="s">
        <v>81</v>
      </c>
      <c r="C34" s="214"/>
      <c r="D34" s="241"/>
      <c r="E34" s="212"/>
      <c r="F34" s="95"/>
      <c r="G34" s="96"/>
    </row>
    <row r="35" spans="1:7" s="93" customFormat="1" ht="18" customHeight="1">
      <c r="A35" s="97" t="s">
        <v>17</v>
      </c>
      <c r="B35" s="213" t="s">
        <v>40</v>
      </c>
      <c r="C35" s="214"/>
      <c r="D35" s="241"/>
      <c r="E35" s="212"/>
      <c r="F35" s="95"/>
      <c r="G35" s="96"/>
    </row>
    <row r="36" spans="1:7" s="93" customFormat="1" ht="30" customHeight="1">
      <c r="A36" s="98" t="s">
        <v>41</v>
      </c>
      <c r="B36" s="213" t="s">
        <v>42</v>
      </c>
      <c r="C36" s="214"/>
      <c r="D36" s="241" t="s">
        <v>2</v>
      </c>
      <c r="E36" s="212"/>
      <c r="F36" s="95"/>
      <c r="G36" s="96"/>
    </row>
    <row r="37" spans="1:6" s="93" customFormat="1" ht="21" customHeight="1">
      <c r="A37" s="210" t="s">
        <v>15</v>
      </c>
      <c r="B37" s="210"/>
      <c r="C37" s="99"/>
      <c r="D37" s="100" t="s">
        <v>19</v>
      </c>
      <c r="E37" s="24" t="s">
        <v>146</v>
      </c>
      <c r="F37" s="102"/>
    </row>
  </sheetData>
  <sheetProtection selectLockedCells="1"/>
  <mergeCells count="28">
    <mergeCell ref="C28:E28"/>
    <mergeCell ref="D36:E36"/>
    <mergeCell ref="D30:E30"/>
    <mergeCell ref="D31:E31"/>
    <mergeCell ref="D32:E32"/>
    <mergeCell ref="D35:E35"/>
    <mergeCell ref="D33:E33"/>
    <mergeCell ref="D34:E34"/>
    <mergeCell ref="A1:E1"/>
    <mergeCell ref="B30:C30"/>
    <mergeCell ref="A29:E29"/>
    <mergeCell ref="A18:E18"/>
    <mergeCell ref="A25:E25"/>
    <mergeCell ref="A3:C3"/>
    <mergeCell ref="B2:C2"/>
    <mergeCell ref="A28:B28"/>
    <mergeCell ref="A8:E8"/>
    <mergeCell ref="A13:E13"/>
    <mergeCell ref="D4:E4"/>
    <mergeCell ref="B4:C4"/>
    <mergeCell ref="A37:B37"/>
    <mergeCell ref="B31:C31"/>
    <mergeCell ref="B32:C32"/>
    <mergeCell ref="B35:C35"/>
    <mergeCell ref="B36:C36"/>
    <mergeCell ref="B33:C33"/>
    <mergeCell ref="B34:C34"/>
    <mergeCell ref="C23:E24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33"/>
  </sheetPr>
  <dimension ref="A1:G38"/>
  <sheetViews>
    <sheetView showGridLines="0" zoomScale="75" zoomScaleNormal="75" zoomScalePageLayoutView="0" workbookViewId="0" topLeftCell="A1">
      <selection activeCell="G21" sqref="G21"/>
    </sheetView>
  </sheetViews>
  <sheetFormatPr defaultColWidth="9.00390625" defaultRowHeight="12.75"/>
  <cols>
    <col min="1" max="1" width="33.875" style="63" customWidth="1"/>
    <col min="2" max="2" width="14.75390625" style="63" customWidth="1"/>
    <col min="3" max="3" width="13.125" style="63" customWidth="1"/>
    <col min="4" max="5" width="14.75390625" style="63" customWidth="1"/>
    <col min="6" max="16384" width="9.125" style="63" customWidth="1"/>
  </cols>
  <sheetData>
    <row r="1" spans="1:5" ht="45" customHeight="1">
      <c r="A1" s="218" t="s">
        <v>117</v>
      </c>
      <c r="B1" s="219"/>
      <c r="C1" s="219"/>
      <c r="D1" s="219"/>
      <c r="E1" s="219"/>
    </row>
    <row r="2" spans="1:5" ht="18.75" customHeight="1">
      <c r="A2" s="64" t="s">
        <v>28</v>
      </c>
      <c r="B2" s="232">
        <f ca="1">TODAY()</f>
        <v>43794</v>
      </c>
      <c r="C2" s="233"/>
      <c r="D2" s="65" t="s">
        <v>7</v>
      </c>
      <c r="E2" s="66">
        <v>100</v>
      </c>
    </row>
    <row r="3" spans="1:5" ht="18.75" customHeight="1">
      <c r="A3" s="229" t="s">
        <v>29</v>
      </c>
      <c r="B3" s="230"/>
      <c r="C3" s="231"/>
      <c r="D3" s="64" t="s">
        <v>21</v>
      </c>
      <c r="E3" s="66"/>
    </row>
    <row r="4" spans="1:5" ht="18.75" customHeight="1">
      <c r="A4" s="67" t="s">
        <v>54</v>
      </c>
      <c r="B4" s="209" t="s">
        <v>55</v>
      </c>
      <c r="C4" s="209"/>
      <c r="D4" s="209" t="s">
        <v>20</v>
      </c>
      <c r="E4" s="209"/>
    </row>
    <row r="5" spans="1:5" ht="42" customHeight="1">
      <c r="A5" s="68" t="s">
        <v>8</v>
      </c>
      <c r="B5" s="68" t="s">
        <v>5</v>
      </c>
      <c r="C5" s="68" t="s">
        <v>9</v>
      </c>
      <c r="D5" s="68" t="s">
        <v>6</v>
      </c>
      <c r="E5" s="68" t="s">
        <v>10</v>
      </c>
    </row>
    <row r="6" spans="1:5" ht="15.75" customHeight="1">
      <c r="A6" s="69" t="s">
        <v>0</v>
      </c>
      <c r="B6" s="70">
        <f>E2-SUM(B7:B24)</f>
        <v>23.89</v>
      </c>
      <c r="C6" s="71"/>
      <c r="D6" s="71"/>
      <c r="E6" s="71"/>
    </row>
    <row r="7" spans="1:5" ht="15.75" customHeight="1">
      <c r="A7" s="72" t="str">
        <f>Сырьё!B16</f>
        <v>Polycol  WP-20B</v>
      </c>
      <c r="B7" s="73">
        <f>E2*0.003</f>
        <v>0.3</v>
      </c>
      <c r="C7" s="74"/>
      <c r="D7" s="74"/>
      <c r="E7" s="74"/>
    </row>
    <row r="8" spans="1:5" ht="17.25" customHeight="1">
      <c r="A8" s="215" t="s">
        <v>90</v>
      </c>
      <c r="B8" s="216"/>
      <c r="C8" s="216"/>
      <c r="D8" s="216"/>
      <c r="E8" s="217"/>
    </row>
    <row r="9" spans="1:5" ht="15.75" customHeight="1">
      <c r="A9" s="69" t="s">
        <v>30</v>
      </c>
      <c r="B9" s="70">
        <f>E2*0.015</f>
        <v>1.5</v>
      </c>
      <c r="C9" s="71"/>
      <c r="D9" s="71"/>
      <c r="E9" s="71"/>
    </row>
    <row r="10" spans="1:5" ht="15.75" customHeight="1">
      <c r="A10" s="75" t="str">
        <f>Сырьё!B5</f>
        <v>Диспергатор Opotan N4045</v>
      </c>
      <c r="B10" s="76">
        <f>E2*0.0015</f>
        <v>0.15</v>
      </c>
      <c r="C10" s="77"/>
      <c r="D10" s="78"/>
      <c r="E10" s="77"/>
    </row>
    <row r="11" spans="1:5" ht="15.75" customHeight="1">
      <c r="A11" s="75" t="s">
        <v>52</v>
      </c>
      <c r="B11" s="79">
        <f>E2*0.0001</f>
        <v>0.01</v>
      </c>
      <c r="C11" s="77"/>
      <c r="D11" s="77"/>
      <c r="E11" s="77"/>
    </row>
    <row r="12" spans="1:5" ht="15.75" customHeight="1">
      <c r="A12" s="75" t="s">
        <v>1</v>
      </c>
      <c r="B12" s="76">
        <f>E2*0.015</f>
        <v>1.5</v>
      </c>
      <c r="C12" s="77"/>
      <c r="D12" s="77"/>
      <c r="E12" s="77"/>
    </row>
    <row r="13" spans="1:5" ht="15.75" customHeight="1">
      <c r="A13" s="223" t="s">
        <v>86</v>
      </c>
      <c r="B13" s="224"/>
      <c r="C13" s="224"/>
      <c r="D13" s="224"/>
      <c r="E13" s="225"/>
    </row>
    <row r="14" spans="1:5" ht="15.75" customHeight="1">
      <c r="A14" s="80" t="s">
        <v>83</v>
      </c>
      <c r="B14" s="81">
        <f>E2*0.0005</f>
        <v>0.05</v>
      </c>
      <c r="C14" s="82"/>
      <c r="D14" s="82"/>
      <c r="E14" s="82"/>
    </row>
    <row r="15" spans="1:5" ht="15.75" customHeight="1">
      <c r="A15" s="83" t="str">
        <f>Сырьё!B8</f>
        <v>Lomon  R996</v>
      </c>
      <c r="B15" s="70">
        <f>E2*0.03</f>
        <v>3</v>
      </c>
      <c r="C15" s="71"/>
      <c r="D15" s="71"/>
      <c r="E15" s="71"/>
    </row>
    <row r="16" spans="1:5" ht="15.75" customHeight="1">
      <c r="A16" s="75" t="str">
        <f>'[5]Сырьё'!B12</f>
        <v>Кальцит ТС-1</v>
      </c>
      <c r="B16" s="76">
        <f>E2*0.4</f>
        <v>40</v>
      </c>
      <c r="C16" s="77"/>
      <c r="D16" s="77"/>
      <c r="E16" s="77"/>
    </row>
    <row r="17" spans="1:5" ht="15.75" customHeight="1">
      <c r="A17" s="75" t="str">
        <f>Сырьё!B12</f>
        <v>Omyacarb 5UR</v>
      </c>
      <c r="B17" s="76">
        <f>E2*0.16</f>
        <v>16</v>
      </c>
      <c r="C17" s="77"/>
      <c r="D17" s="77"/>
      <c r="E17" s="77"/>
    </row>
    <row r="18" spans="1:5" ht="15.75" customHeight="1">
      <c r="A18" s="75" t="str">
        <f>'[3]Сырьё'!B21</f>
        <v>Nextcoat 795</v>
      </c>
      <c r="B18" s="76">
        <f>E2*0.005</f>
        <v>0.5</v>
      </c>
      <c r="C18" s="77"/>
      <c r="D18" s="77"/>
      <c r="E18" s="77"/>
    </row>
    <row r="19" spans="1:5" ht="17.25" customHeight="1">
      <c r="A19" s="215" t="s">
        <v>89</v>
      </c>
      <c r="B19" s="216"/>
      <c r="C19" s="216"/>
      <c r="D19" s="216"/>
      <c r="E19" s="217"/>
    </row>
    <row r="20" spans="1:5" ht="15.75" customHeight="1">
      <c r="A20" s="69" t="str">
        <f>Сырьё!B4</f>
        <v>DL-430</v>
      </c>
      <c r="B20" s="70">
        <f>E2*0.126</f>
        <v>12.6</v>
      </c>
      <c r="C20" s="84"/>
      <c r="D20" s="84"/>
      <c r="E20" s="84"/>
    </row>
    <row r="21" spans="1:5" ht="15.75" customHeight="1">
      <c r="A21" s="75" t="str">
        <f>'[3]Сырьё'!$B$9</f>
        <v>Консервант Acticide FI</v>
      </c>
      <c r="B21" s="76">
        <f>E2*0.002</f>
        <v>0.2</v>
      </c>
      <c r="C21" s="77"/>
      <c r="D21" s="77"/>
      <c r="E21" s="77"/>
    </row>
    <row r="22" spans="1:5" ht="15.75" customHeight="1">
      <c r="A22" s="75" t="s">
        <v>61</v>
      </c>
      <c r="B22" s="76">
        <f>E2*0.0005</f>
        <v>0.05</v>
      </c>
      <c r="C22" s="77"/>
      <c r="D22" s="77"/>
      <c r="E22" s="77"/>
    </row>
    <row r="23" spans="1:5" ht="15.75" customHeight="1">
      <c r="A23" s="75" t="str">
        <f>'[3]Сырьё'!$B$7</f>
        <v>Пеногаситель Serdas 7015</v>
      </c>
      <c r="B23" s="76">
        <f>E2*0.0015</f>
        <v>0.15</v>
      </c>
      <c r="C23" s="77"/>
      <c r="D23" s="77"/>
      <c r="E23" s="77"/>
    </row>
    <row r="24" spans="1:5" ht="15.75" customHeight="1">
      <c r="A24" s="72" t="str">
        <f>Сырьё!B17</f>
        <v>Загуститель Rheovis 112</v>
      </c>
      <c r="B24" s="85">
        <f>E2*0.001</f>
        <v>0.1</v>
      </c>
      <c r="C24" s="235" t="s">
        <v>91</v>
      </c>
      <c r="D24" s="236"/>
      <c r="E24" s="237"/>
    </row>
    <row r="25" spans="1:5" ht="15.75" customHeight="1">
      <c r="A25" s="72" t="s">
        <v>0</v>
      </c>
      <c r="B25" s="85">
        <f>E2*0.001</f>
        <v>0.1</v>
      </c>
      <c r="C25" s="238"/>
      <c r="D25" s="239"/>
      <c r="E25" s="240"/>
    </row>
    <row r="26" spans="1:5" ht="31.5" customHeight="1">
      <c r="A26" s="226" t="s">
        <v>92</v>
      </c>
      <c r="B26" s="227"/>
      <c r="C26" s="227"/>
      <c r="D26" s="227"/>
      <c r="E26" s="228"/>
    </row>
    <row r="27" spans="1:5" ht="15.75" customHeight="1">
      <c r="A27" s="86" t="s">
        <v>11</v>
      </c>
      <c r="B27" s="87">
        <f>SUM(B6:B24)</f>
        <v>100</v>
      </c>
      <c r="C27" s="88"/>
      <c r="D27" s="88"/>
      <c r="E27" s="88"/>
    </row>
    <row r="28" spans="1:5" ht="18" customHeight="1">
      <c r="A28" s="89" t="s">
        <v>32</v>
      </c>
      <c r="B28" s="90">
        <f>(B7+B9*0.1+B10*0.4+B11+B15+B16+B17+B20*0.5+(B14+B23+B24)*0.3)*100/E2</f>
        <v>65.91000000000001</v>
      </c>
      <c r="C28" s="91"/>
      <c r="D28" s="91"/>
      <c r="E28" s="91"/>
    </row>
    <row r="29" spans="1:5" ht="18" customHeight="1">
      <c r="A29" s="234" t="s">
        <v>45</v>
      </c>
      <c r="B29" s="234"/>
      <c r="C29" s="234" t="s">
        <v>12</v>
      </c>
      <c r="D29" s="234"/>
      <c r="E29" s="234"/>
    </row>
    <row r="30" spans="1:7" s="93" customFormat="1" ht="15.75" customHeight="1">
      <c r="A30" s="222" t="s">
        <v>33</v>
      </c>
      <c r="B30" s="222"/>
      <c r="C30" s="222"/>
      <c r="D30" s="222"/>
      <c r="E30" s="222"/>
      <c r="F30" s="92"/>
      <c r="G30" s="92"/>
    </row>
    <row r="31" spans="1:7" s="93" customFormat="1" ht="42" customHeight="1">
      <c r="A31" s="94" t="s">
        <v>13</v>
      </c>
      <c r="B31" s="220" t="s">
        <v>47</v>
      </c>
      <c r="C31" s="221"/>
      <c r="D31" s="242" t="s">
        <v>14</v>
      </c>
      <c r="E31" s="221"/>
      <c r="F31" s="95"/>
      <c r="G31" s="96"/>
    </row>
    <row r="32" spans="1:7" s="93" customFormat="1" ht="18" customHeight="1">
      <c r="A32" s="97" t="s">
        <v>4</v>
      </c>
      <c r="B32" s="211" t="s">
        <v>34</v>
      </c>
      <c r="C32" s="212"/>
      <c r="D32" s="241" t="s">
        <v>2</v>
      </c>
      <c r="E32" s="212"/>
      <c r="F32" s="95"/>
      <c r="G32" s="96"/>
    </row>
    <row r="33" spans="1:7" s="93" customFormat="1" ht="18" customHeight="1">
      <c r="A33" s="97" t="s">
        <v>35</v>
      </c>
      <c r="B33" s="211" t="s">
        <v>36</v>
      </c>
      <c r="C33" s="212"/>
      <c r="D33" s="241"/>
      <c r="E33" s="212"/>
      <c r="F33" s="95"/>
      <c r="G33" s="96"/>
    </row>
    <row r="34" spans="1:7" s="93" customFormat="1" ht="18" customHeight="1">
      <c r="A34" s="97" t="s">
        <v>16</v>
      </c>
      <c r="B34" s="213" t="s">
        <v>37</v>
      </c>
      <c r="C34" s="214"/>
      <c r="D34" s="241" t="s">
        <v>3</v>
      </c>
      <c r="E34" s="212"/>
      <c r="F34" s="95"/>
      <c r="G34" s="96"/>
    </row>
    <row r="35" spans="1:7" s="93" customFormat="1" ht="30" customHeight="1">
      <c r="A35" s="98" t="s">
        <v>38</v>
      </c>
      <c r="B35" s="213" t="s">
        <v>81</v>
      </c>
      <c r="C35" s="214"/>
      <c r="D35" s="241"/>
      <c r="E35" s="212"/>
      <c r="F35" s="95"/>
      <c r="G35" s="96"/>
    </row>
    <row r="36" spans="1:7" s="93" customFormat="1" ht="18" customHeight="1">
      <c r="A36" s="97" t="s">
        <v>17</v>
      </c>
      <c r="B36" s="213" t="s">
        <v>40</v>
      </c>
      <c r="C36" s="214"/>
      <c r="D36" s="241"/>
      <c r="E36" s="212"/>
      <c r="F36" s="95"/>
      <c r="G36" s="96"/>
    </row>
    <row r="37" spans="1:7" s="93" customFormat="1" ht="30" customHeight="1">
      <c r="A37" s="98" t="s">
        <v>41</v>
      </c>
      <c r="B37" s="213" t="s">
        <v>42</v>
      </c>
      <c r="C37" s="214"/>
      <c r="D37" s="241" t="s">
        <v>2</v>
      </c>
      <c r="E37" s="212"/>
      <c r="F37" s="95"/>
      <c r="G37" s="96"/>
    </row>
    <row r="38" spans="1:6" s="93" customFormat="1" ht="21" customHeight="1">
      <c r="A38" s="210" t="s">
        <v>15</v>
      </c>
      <c r="B38" s="210"/>
      <c r="C38" s="99"/>
      <c r="D38" s="100" t="s">
        <v>19</v>
      </c>
      <c r="E38" s="101" t="s">
        <v>128</v>
      </c>
      <c r="F38" s="102"/>
    </row>
  </sheetData>
  <sheetProtection selectLockedCells="1"/>
  <mergeCells count="28">
    <mergeCell ref="C29:E29"/>
    <mergeCell ref="D37:E37"/>
    <mergeCell ref="D31:E31"/>
    <mergeCell ref="D32:E32"/>
    <mergeCell ref="D33:E33"/>
    <mergeCell ref="D36:E36"/>
    <mergeCell ref="D34:E34"/>
    <mergeCell ref="D35:E35"/>
    <mergeCell ref="A1:E1"/>
    <mergeCell ref="B31:C31"/>
    <mergeCell ref="A30:E30"/>
    <mergeCell ref="A19:E19"/>
    <mergeCell ref="A26:E26"/>
    <mergeCell ref="A3:C3"/>
    <mergeCell ref="B2:C2"/>
    <mergeCell ref="A29:B29"/>
    <mergeCell ref="A8:E8"/>
    <mergeCell ref="A13:E13"/>
    <mergeCell ref="D4:E4"/>
    <mergeCell ref="B4:C4"/>
    <mergeCell ref="A38:B38"/>
    <mergeCell ref="B32:C32"/>
    <mergeCell ref="B33:C33"/>
    <mergeCell ref="B36:C36"/>
    <mergeCell ref="B37:C37"/>
    <mergeCell ref="B34:C34"/>
    <mergeCell ref="B35:C35"/>
    <mergeCell ref="C24:E25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J37"/>
  <sheetViews>
    <sheetView showGridLines="0" zoomScale="75" zoomScaleNormal="75" zoomScalePageLayoutView="0" workbookViewId="0" topLeftCell="A1">
      <selection activeCell="A19" sqref="A19"/>
    </sheetView>
  </sheetViews>
  <sheetFormatPr defaultColWidth="9.00390625" defaultRowHeight="12.75"/>
  <cols>
    <col min="1" max="1" width="37.125" style="2" customWidth="1"/>
    <col min="2" max="2" width="12.625" style="2" customWidth="1"/>
    <col min="3" max="3" width="12.875" style="2" customWidth="1"/>
    <col min="4" max="4" width="13.375" style="2" customWidth="1"/>
    <col min="5" max="5" width="13.125" style="2" customWidth="1"/>
    <col min="6" max="16384" width="9.125" style="2" customWidth="1"/>
  </cols>
  <sheetData>
    <row r="1" spans="1:5" ht="39.75" customHeight="1">
      <c r="A1" s="157" t="s">
        <v>58</v>
      </c>
      <c r="B1" s="180"/>
      <c r="C1" s="180"/>
      <c r="D1" s="180"/>
      <c r="E1" s="180"/>
    </row>
    <row r="2" spans="1:5" ht="19.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16.5" customHeight="1">
      <c r="A3" s="160" t="s">
        <v>29</v>
      </c>
      <c r="B3" s="161"/>
      <c r="C3" s="162"/>
      <c r="D3" s="5" t="s">
        <v>21</v>
      </c>
      <c r="E3" s="9"/>
    </row>
    <row r="4" spans="1:5" ht="18.75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4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7" ht="16.5" customHeight="1">
      <c r="A6" s="29" t="s">
        <v>0</v>
      </c>
      <c r="B6" s="30">
        <f>E2-SUM(B7:B24)</f>
        <v>36.019999999999996</v>
      </c>
      <c r="C6" s="31"/>
      <c r="D6" s="31"/>
      <c r="E6" s="31"/>
      <c r="G6" s="58" t="s">
        <v>94</v>
      </c>
    </row>
    <row r="7" spans="1:7" ht="16.5" customHeight="1">
      <c r="A7" s="53" t="s">
        <v>93</v>
      </c>
      <c r="B7" s="54">
        <f>E2*0.05</f>
        <v>5</v>
      </c>
      <c r="C7" s="55"/>
      <c r="D7" s="55"/>
      <c r="E7" s="55"/>
      <c r="G7" s="57">
        <v>0.2</v>
      </c>
    </row>
    <row r="8" spans="1:5" ht="16.5" customHeight="1">
      <c r="A8" s="32" t="str">
        <f>Сырьё!$B$15</f>
        <v>Polycol  WP-20B</v>
      </c>
      <c r="B8" s="33">
        <f>E2*0.0042</f>
        <v>0.42</v>
      </c>
      <c r="C8" s="34"/>
      <c r="D8" s="34"/>
      <c r="E8" s="34"/>
    </row>
    <row r="9" spans="1:5" ht="15.75" customHeight="1">
      <c r="A9" s="184" t="s">
        <v>90</v>
      </c>
      <c r="B9" s="185"/>
      <c r="C9" s="185"/>
      <c r="D9" s="185"/>
      <c r="E9" s="186"/>
    </row>
    <row r="10" spans="1:5" ht="16.5" customHeight="1">
      <c r="A10" s="29" t="s">
        <v>30</v>
      </c>
      <c r="B10" s="30">
        <f>E2*0.015</f>
        <v>1.5</v>
      </c>
      <c r="C10" s="31"/>
      <c r="D10" s="31"/>
      <c r="E10" s="31"/>
    </row>
    <row r="11" spans="1:5" ht="16.5" customHeight="1">
      <c r="A11" s="35" t="str">
        <f>Сырьё!$B$5</f>
        <v>Диспергатор Opotan N4045</v>
      </c>
      <c r="B11" s="36">
        <f>E2*0.003</f>
        <v>0.3</v>
      </c>
      <c r="C11" s="37"/>
      <c r="D11" s="37"/>
      <c r="E11" s="37"/>
    </row>
    <row r="12" spans="1:5" ht="16.5" customHeight="1">
      <c r="A12" s="35" t="s">
        <v>52</v>
      </c>
      <c r="B12" s="36">
        <f>E2*0.0001</f>
        <v>0.01</v>
      </c>
      <c r="C12" s="37"/>
      <c r="D12" s="37"/>
      <c r="E12" s="37"/>
    </row>
    <row r="13" spans="1:5" ht="17.25" customHeight="1">
      <c r="A13" s="181" t="s">
        <v>86</v>
      </c>
      <c r="B13" s="182"/>
      <c r="C13" s="182"/>
      <c r="D13" s="182"/>
      <c r="E13" s="183"/>
    </row>
    <row r="14" spans="1:5" ht="16.5" customHeight="1">
      <c r="A14" s="29" t="str">
        <f>Сырьё!$B$8</f>
        <v>Lomon  R996</v>
      </c>
      <c r="B14" s="30">
        <f>E2*0.01</f>
        <v>1</v>
      </c>
      <c r="C14" s="31"/>
      <c r="D14" s="31"/>
      <c r="E14" s="31"/>
    </row>
    <row r="15" spans="1:5" ht="16.5" customHeight="1">
      <c r="A15" s="35" t="str">
        <f>Сырьё!B9</f>
        <v>Omyacarb 2-UR</v>
      </c>
      <c r="B15" s="36">
        <f>E2*0.4</f>
        <v>40</v>
      </c>
      <c r="C15" s="37"/>
      <c r="D15" s="37"/>
      <c r="E15" s="37"/>
    </row>
    <row r="16" spans="1:5" ht="16.5" customHeight="1">
      <c r="A16" s="35" t="s">
        <v>106</v>
      </c>
      <c r="B16" s="33">
        <f>E2*0.15</f>
        <v>15</v>
      </c>
      <c r="C16" s="34"/>
      <c r="D16" s="34"/>
      <c r="E16" s="34"/>
    </row>
    <row r="17" spans="1:5" ht="17.25" customHeight="1">
      <c r="A17" s="184" t="s">
        <v>89</v>
      </c>
      <c r="B17" s="185"/>
      <c r="C17" s="185"/>
      <c r="D17" s="185"/>
      <c r="E17" s="186"/>
    </row>
    <row r="18" spans="1:5" ht="16.5" customHeight="1">
      <c r="A18" s="35" t="str">
        <f>Сырьё!$B$6</f>
        <v>Пеногаситель Contrapen PR-194</v>
      </c>
      <c r="B18" s="36">
        <f>E2*0.0005</f>
        <v>0.05</v>
      </c>
      <c r="C18" s="37"/>
      <c r="D18" s="37"/>
      <c r="E18" s="37"/>
    </row>
    <row r="19" spans="1:5" ht="16.5" customHeight="1">
      <c r="A19" s="26" t="s">
        <v>73</v>
      </c>
      <c r="B19" s="30">
        <f>E2*((1-5*G7)/50)</f>
        <v>0</v>
      </c>
      <c r="C19" s="38"/>
      <c r="D19" s="38"/>
      <c r="E19" s="38"/>
    </row>
    <row r="20" spans="1:5" ht="16.5" customHeight="1">
      <c r="A20" s="35" t="str">
        <f>Сырьё!$B$7</f>
        <v>Консервант Acticide FI</v>
      </c>
      <c r="B20" s="36">
        <f>E2*0.002</f>
        <v>0.2</v>
      </c>
      <c r="C20" s="37"/>
      <c r="D20" s="37"/>
      <c r="E20" s="37"/>
    </row>
    <row r="21" spans="1:5" ht="15.75" customHeight="1">
      <c r="A21" s="35" t="s">
        <v>61</v>
      </c>
      <c r="B21" s="36">
        <f>E2*0.0005</f>
        <v>0.05</v>
      </c>
      <c r="C21" s="37"/>
      <c r="D21" s="37"/>
      <c r="E21" s="37"/>
    </row>
    <row r="22" spans="1:5" ht="16.5" customHeight="1">
      <c r="A22" s="32" t="str">
        <f>Сырьё!$B$6</f>
        <v>Пеногаситель Contrapen PR-194</v>
      </c>
      <c r="B22" s="33">
        <f>E2*0.0005</f>
        <v>0.05</v>
      </c>
      <c r="C22" s="34"/>
      <c r="D22" s="34"/>
      <c r="E22" s="34"/>
    </row>
    <row r="23" spans="1:5" ht="16.5" customHeight="1">
      <c r="A23" s="32" t="str">
        <f>Сырьё!$B$17</f>
        <v>Загуститель Rheovis 112</v>
      </c>
      <c r="B23" s="33">
        <f>E2*0.002</f>
        <v>0.2</v>
      </c>
      <c r="C23" s="190" t="s">
        <v>91</v>
      </c>
      <c r="D23" s="191"/>
      <c r="E23" s="192"/>
    </row>
    <row r="24" spans="1:5" ht="16.5" customHeight="1">
      <c r="A24" s="32" t="s">
        <v>0</v>
      </c>
      <c r="B24" s="33">
        <f>E2*0.002</f>
        <v>0.2</v>
      </c>
      <c r="C24" s="193"/>
      <c r="D24" s="194"/>
      <c r="E24" s="195"/>
    </row>
    <row r="25" spans="1:5" ht="33" customHeight="1">
      <c r="A25" s="187" t="s">
        <v>92</v>
      </c>
      <c r="B25" s="188"/>
      <c r="C25" s="188"/>
      <c r="D25" s="188"/>
      <c r="E25" s="189"/>
    </row>
    <row r="26" spans="1:5" ht="14.25" customHeight="1">
      <c r="A26" s="4" t="s">
        <v>11</v>
      </c>
      <c r="B26" s="3">
        <f>SUM(B6:B24)</f>
        <v>100</v>
      </c>
      <c r="C26" s="1"/>
      <c r="D26" s="1"/>
      <c r="E26" s="1"/>
    </row>
    <row r="27" spans="1:5" ht="10.5" customHeight="1">
      <c r="A27" s="12" t="s">
        <v>32</v>
      </c>
      <c r="B27" s="13">
        <f>(B7*G7+B8+B10*0.1+B11*0.4+B12+B19*0.5+B14+B15+B16+(B18+B20+B22+B23)*0.3)*100/E2</f>
        <v>57.85</v>
      </c>
      <c r="C27" s="14"/>
      <c r="D27" s="14"/>
      <c r="E27" s="14"/>
    </row>
    <row r="28" spans="1:5" ht="17.25" customHeight="1">
      <c r="A28" s="148" t="s">
        <v>45</v>
      </c>
      <c r="B28" s="148"/>
      <c r="C28" s="148" t="s">
        <v>12</v>
      </c>
      <c r="D28" s="148"/>
      <c r="E28" s="148"/>
    </row>
    <row r="29" spans="1:10" s="16" customFormat="1" ht="15" customHeight="1">
      <c r="A29" s="163" t="s">
        <v>33</v>
      </c>
      <c r="B29" s="163"/>
      <c r="C29" s="163"/>
      <c r="D29" s="163"/>
      <c r="E29" s="163"/>
      <c r="F29" s="15"/>
      <c r="G29" s="15"/>
      <c r="H29" s="15"/>
      <c r="I29" s="15"/>
      <c r="J29" s="15"/>
    </row>
    <row r="30" spans="1:10" s="16" customFormat="1" ht="47.25" customHeight="1">
      <c r="A30" s="17" t="s">
        <v>13</v>
      </c>
      <c r="B30" s="159" t="s">
        <v>47</v>
      </c>
      <c r="C30" s="152"/>
      <c r="D30" s="151" t="s">
        <v>14</v>
      </c>
      <c r="E30" s="152"/>
      <c r="F30" s="18"/>
      <c r="G30" s="19"/>
      <c r="H30" s="19"/>
      <c r="I30" s="19"/>
      <c r="J30" s="19"/>
    </row>
    <row r="31" spans="1:10" s="16" customFormat="1" ht="26.25" customHeight="1">
      <c r="A31" s="20" t="s">
        <v>4</v>
      </c>
      <c r="B31" s="197" t="s">
        <v>34</v>
      </c>
      <c r="C31" s="179"/>
      <c r="D31" s="178" t="s">
        <v>2</v>
      </c>
      <c r="E31" s="179"/>
      <c r="F31" s="18"/>
      <c r="G31" s="19"/>
      <c r="H31" s="19"/>
      <c r="I31" s="19"/>
      <c r="J31" s="19"/>
    </row>
    <row r="32" spans="1:10" s="16" customFormat="1" ht="18" customHeight="1">
      <c r="A32" s="20" t="s">
        <v>35</v>
      </c>
      <c r="B32" s="197" t="s">
        <v>36</v>
      </c>
      <c r="C32" s="179"/>
      <c r="D32" s="178"/>
      <c r="E32" s="179"/>
      <c r="F32" s="18"/>
      <c r="G32" s="19"/>
      <c r="H32" s="19"/>
      <c r="I32" s="19"/>
      <c r="J32" s="19"/>
    </row>
    <row r="33" spans="1:10" s="16" customFormat="1" ht="18" customHeight="1">
      <c r="A33" s="20" t="s">
        <v>16</v>
      </c>
      <c r="B33" s="198" t="s">
        <v>37</v>
      </c>
      <c r="C33" s="199"/>
      <c r="D33" s="178" t="s">
        <v>3</v>
      </c>
      <c r="E33" s="179"/>
      <c r="F33" s="18"/>
      <c r="G33" s="19"/>
      <c r="H33" s="19"/>
      <c r="I33" s="19"/>
      <c r="J33" s="19"/>
    </row>
    <row r="34" spans="1:10" s="16" customFormat="1" ht="30" customHeight="1">
      <c r="A34" s="21" t="s">
        <v>38</v>
      </c>
      <c r="B34" s="198" t="s">
        <v>81</v>
      </c>
      <c r="C34" s="199"/>
      <c r="D34" s="178"/>
      <c r="E34" s="179"/>
      <c r="F34" s="18"/>
      <c r="G34" s="19"/>
      <c r="H34" s="19"/>
      <c r="I34" s="19"/>
      <c r="J34" s="19"/>
    </row>
    <row r="35" spans="1:10" s="16" customFormat="1" ht="18" customHeight="1">
      <c r="A35" s="20" t="s">
        <v>17</v>
      </c>
      <c r="B35" s="198" t="s">
        <v>40</v>
      </c>
      <c r="C35" s="199"/>
      <c r="D35" s="178"/>
      <c r="E35" s="179"/>
      <c r="F35" s="18"/>
      <c r="G35" s="19"/>
      <c r="H35" s="19"/>
      <c r="I35" s="19"/>
      <c r="J35" s="19"/>
    </row>
    <row r="36" spans="1:10" s="16" customFormat="1" ht="30" customHeight="1">
      <c r="A36" s="21" t="s">
        <v>41</v>
      </c>
      <c r="B36" s="198" t="s">
        <v>42</v>
      </c>
      <c r="C36" s="199"/>
      <c r="D36" s="178" t="s">
        <v>2</v>
      </c>
      <c r="E36" s="179"/>
      <c r="F36" s="18"/>
      <c r="G36" s="19"/>
      <c r="H36" s="19"/>
      <c r="I36" s="19"/>
      <c r="J36" s="19"/>
    </row>
    <row r="37" spans="1:6" s="16" customFormat="1" ht="24" customHeight="1">
      <c r="A37" s="171" t="s">
        <v>15</v>
      </c>
      <c r="B37" s="171"/>
      <c r="C37" s="22"/>
      <c r="D37" s="23" t="s">
        <v>19</v>
      </c>
      <c r="E37" s="24" t="s">
        <v>107</v>
      </c>
      <c r="F37" s="25"/>
    </row>
  </sheetData>
  <sheetProtection password="CEFD" sheet="1" objects="1" scenarios="1" selectLockedCells="1"/>
  <mergeCells count="28">
    <mergeCell ref="C28:E28"/>
    <mergeCell ref="D36:E36"/>
    <mergeCell ref="D30:E30"/>
    <mergeCell ref="D31:E31"/>
    <mergeCell ref="D32:E32"/>
    <mergeCell ref="D35:E35"/>
    <mergeCell ref="D33:E33"/>
    <mergeCell ref="D34:E34"/>
    <mergeCell ref="A1:E1"/>
    <mergeCell ref="B30:C30"/>
    <mergeCell ref="A29:E29"/>
    <mergeCell ref="A13:E13"/>
    <mergeCell ref="A17:E17"/>
    <mergeCell ref="A25:E25"/>
    <mergeCell ref="A3:C3"/>
    <mergeCell ref="B2:C2"/>
    <mergeCell ref="A28:B28"/>
    <mergeCell ref="C23:E24"/>
    <mergeCell ref="D4:E4"/>
    <mergeCell ref="B4:C4"/>
    <mergeCell ref="A37:B37"/>
    <mergeCell ref="B31:C31"/>
    <mergeCell ref="B32:C32"/>
    <mergeCell ref="B35:C35"/>
    <mergeCell ref="B36:C36"/>
    <mergeCell ref="B33:C33"/>
    <mergeCell ref="B34:C34"/>
    <mergeCell ref="A9:E9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G37"/>
  <sheetViews>
    <sheetView showGridLines="0" zoomScale="75" zoomScaleNormal="75" zoomScalePageLayoutView="0" workbookViewId="0" topLeftCell="A1">
      <selection activeCell="A8" sqref="A8:E8"/>
    </sheetView>
  </sheetViews>
  <sheetFormatPr defaultColWidth="9.00390625" defaultRowHeight="12.75"/>
  <cols>
    <col min="1" max="1" width="32.75390625" style="2" customWidth="1"/>
    <col min="2" max="5" width="14.75390625" style="2" customWidth="1"/>
    <col min="6" max="16384" width="9.125" style="2" customWidth="1"/>
  </cols>
  <sheetData>
    <row r="1" spans="1:5" ht="41.25" customHeight="1">
      <c r="A1" s="157" t="s">
        <v>142</v>
      </c>
      <c r="B1" s="180"/>
      <c r="C1" s="180"/>
      <c r="D1" s="180"/>
      <c r="E1" s="180"/>
    </row>
    <row r="2" spans="1:5" ht="18.7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18" customHeight="1">
      <c r="A3" s="160" t="s">
        <v>29</v>
      </c>
      <c r="B3" s="161"/>
      <c r="C3" s="162"/>
      <c r="D3" s="5" t="s">
        <v>21</v>
      </c>
      <c r="E3" s="9"/>
    </row>
    <row r="4" spans="1:5" ht="18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32.2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5" ht="15.75" customHeight="1">
      <c r="A6" s="29" t="s">
        <v>0</v>
      </c>
      <c r="B6" s="30">
        <f>E2-SUM(B7:B23)</f>
        <v>16.959999999999994</v>
      </c>
      <c r="C6" s="31"/>
      <c r="D6" s="31"/>
      <c r="E6" s="31"/>
    </row>
    <row r="7" spans="1:5" ht="15.75" customHeight="1">
      <c r="A7" s="32" t="str">
        <f>Сырьё!B16</f>
        <v>Polycol  WP-20B</v>
      </c>
      <c r="B7" s="33">
        <f>E2*0.0033</f>
        <v>0.33</v>
      </c>
      <c r="C7" s="34"/>
      <c r="D7" s="34"/>
      <c r="E7" s="34"/>
    </row>
    <row r="8" spans="1:5" ht="21" customHeight="1">
      <c r="A8" s="184" t="s">
        <v>90</v>
      </c>
      <c r="B8" s="185"/>
      <c r="C8" s="185"/>
      <c r="D8" s="185"/>
      <c r="E8" s="186"/>
    </row>
    <row r="9" spans="1:5" ht="15.75" customHeight="1">
      <c r="A9" s="29" t="s">
        <v>30</v>
      </c>
      <c r="B9" s="30">
        <f>E2*0.015</f>
        <v>1.5</v>
      </c>
      <c r="C9" s="31"/>
      <c r="D9" s="31"/>
      <c r="E9" s="31"/>
    </row>
    <row r="10" spans="1:5" ht="15.75" customHeight="1">
      <c r="A10" s="59" t="str">
        <f>Сырьё!B5</f>
        <v>Диспергатор Opotan N4045</v>
      </c>
      <c r="B10" s="36">
        <f>E2*0.0015</f>
        <v>0.15</v>
      </c>
      <c r="C10" s="37"/>
      <c r="D10" s="37"/>
      <c r="E10" s="37"/>
    </row>
    <row r="11" spans="1:5" ht="15.75" customHeight="1">
      <c r="A11" s="35" t="s">
        <v>52</v>
      </c>
      <c r="B11" s="36">
        <f>E2*0.0001</f>
        <v>0.01</v>
      </c>
      <c r="C11" s="37"/>
      <c r="D11" s="37"/>
      <c r="E11" s="37"/>
    </row>
    <row r="12" spans="1:5" ht="15.75" customHeight="1">
      <c r="A12" s="35" t="s">
        <v>1</v>
      </c>
      <c r="B12" s="36">
        <f>E2*0.07</f>
        <v>7.000000000000001</v>
      </c>
      <c r="C12" s="37"/>
      <c r="D12" s="37"/>
      <c r="E12" s="37"/>
    </row>
    <row r="13" spans="1:5" ht="21" customHeight="1">
      <c r="A13" s="181" t="s">
        <v>86</v>
      </c>
      <c r="B13" s="182"/>
      <c r="C13" s="182"/>
      <c r="D13" s="182"/>
      <c r="E13" s="183"/>
    </row>
    <row r="14" spans="1:5" ht="15.75" customHeight="1">
      <c r="A14" s="61" t="str">
        <f>'[1]Сырьё'!$B$8</f>
        <v>Двуокись титана Cronos 2190</v>
      </c>
      <c r="B14" s="30">
        <f>E2*0.03</f>
        <v>3</v>
      </c>
      <c r="C14" s="31"/>
      <c r="D14" s="31"/>
      <c r="E14" s="31"/>
    </row>
    <row r="15" spans="1:5" ht="15.75" customHeight="1">
      <c r="A15" s="35" t="str">
        <f>'[1]Сырьё'!B9</f>
        <v>Omyacarb 2X-KР</v>
      </c>
      <c r="B15" s="36">
        <f>E2*0.4</f>
        <v>40</v>
      </c>
      <c r="C15" s="37"/>
      <c r="D15" s="37"/>
      <c r="E15" s="37"/>
    </row>
    <row r="16" spans="1:5" ht="15.75" customHeight="1">
      <c r="A16" s="35" t="s">
        <v>50</v>
      </c>
      <c r="B16" s="36">
        <f>E2*0.16</f>
        <v>16</v>
      </c>
      <c r="C16" s="37"/>
      <c r="D16" s="37"/>
      <c r="E16" s="37"/>
    </row>
    <row r="17" spans="1:5" ht="21" customHeight="1">
      <c r="A17" s="184" t="s">
        <v>89</v>
      </c>
      <c r="B17" s="185"/>
      <c r="C17" s="185"/>
      <c r="D17" s="185"/>
      <c r="E17" s="186"/>
    </row>
    <row r="18" spans="1:5" ht="15.75" customHeight="1">
      <c r="A18" s="35" t="str">
        <f>'[1]Сырьё'!B15</f>
        <v>Nextcoat 795</v>
      </c>
      <c r="B18" s="36">
        <f>E2*0.005</f>
        <v>0.5</v>
      </c>
      <c r="C18" s="37"/>
      <c r="D18" s="37"/>
      <c r="E18" s="37"/>
    </row>
    <row r="19" spans="1:5" ht="15.75" customHeight="1">
      <c r="A19" s="29" t="s">
        <v>73</v>
      </c>
      <c r="B19" s="30">
        <f>E2*0.14</f>
        <v>14.000000000000002</v>
      </c>
      <c r="C19" s="38"/>
      <c r="D19" s="38"/>
      <c r="E19" s="38"/>
    </row>
    <row r="20" spans="1:5" ht="15.75" customHeight="1">
      <c r="A20" s="35" t="str">
        <f>'[1]Сырьё'!$B$7</f>
        <v>Консервант Acticide FI</v>
      </c>
      <c r="B20" s="36">
        <f>E2*0.002</f>
        <v>0.2</v>
      </c>
      <c r="C20" s="37"/>
      <c r="D20" s="37"/>
      <c r="E20" s="37"/>
    </row>
    <row r="21" spans="1:5" ht="15.75" customHeight="1">
      <c r="A21" s="35" t="s">
        <v>61</v>
      </c>
      <c r="B21" s="36">
        <f>E2*0.0005</f>
        <v>0.05</v>
      </c>
      <c r="C21" s="37"/>
      <c r="D21" s="37"/>
      <c r="E21" s="37"/>
    </row>
    <row r="22" spans="1:5" ht="15.75" customHeight="1">
      <c r="A22" s="35" t="str">
        <f>'[1]Сырьё'!$B$6</f>
        <v>Пеногаситель Serdas 7015</v>
      </c>
      <c r="B22" s="36">
        <f>E2*0.001</f>
        <v>0.1</v>
      </c>
      <c r="C22" s="37"/>
      <c r="D22" s="37"/>
      <c r="E22" s="37"/>
    </row>
    <row r="23" spans="1:5" ht="15.75" customHeight="1">
      <c r="A23" s="32" t="str">
        <f>Сырьё!B17</f>
        <v>Загуститель Rheovis 112</v>
      </c>
      <c r="B23" s="33">
        <f>E2*0.002</f>
        <v>0.2</v>
      </c>
      <c r="C23" s="190" t="s">
        <v>91</v>
      </c>
      <c r="D23" s="191"/>
      <c r="E23" s="192"/>
    </row>
    <row r="24" spans="1:5" ht="15.75" customHeight="1">
      <c r="A24" s="72" t="s">
        <v>0</v>
      </c>
      <c r="B24" s="33">
        <f>E2*0.002</f>
        <v>0.2</v>
      </c>
      <c r="C24" s="193"/>
      <c r="D24" s="194"/>
      <c r="E24" s="195"/>
    </row>
    <row r="25" spans="1:5" ht="30.75" customHeight="1">
      <c r="A25" s="187" t="s">
        <v>92</v>
      </c>
      <c r="B25" s="188"/>
      <c r="C25" s="188"/>
      <c r="D25" s="188"/>
      <c r="E25" s="189"/>
    </row>
    <row r="26" spans="1:5" ht="15.75" customHeight="1">
      <c r="A26" s="4" t="s">
        <v>11</v>
      </c>
      <c r="B26" s="3">
        <f>SUM(B6:B23)</f>
        <v>99.99999999999999</v>
      </c>
      <c r="C26" s="1"/>
      <c r="D26" s="1"/>
      <c r="E26" s="1"/>
    </row>
    <row r="27" spans="1:5" ht="18" customHeight="1">
      <c r="A27" s="12" t="s">
        <v>32</v>
      </c>
      <c r="B27" s="13">
        <f>(B7+B9*0.1+B10*0.4+B11+B14+B15+B16+B19*0.5+(B22+B23)*0.3)*100/E2</f>
        <v>66.64</v>
      </c>
      <c r="C27" s="14"/>
      <c r="D27" s="14"/>
      <c r="E27" s="14"/>
    </row>
    <row r="28" spans="1:5" ht="20.25" customHeight="1">
      <c r="A28" s="148" t="s">
        <v>45</v>
      </c>
      <c r="B28" s="148"/>
      <c r="C28" s="148" t="s">
        <v>12</v>
      </c>
      <c r="D28" s="148"/>
      <c r="E28" s="148"/>
    </row>
    <row r="29" spans="1:7" s="16" customFormat="1" ht="20.25" customHeight="1">
      <c r="A29" s="163" t="s">
        <v>33</v>
      </c>
      <c r="B29" s="163"/>
      <c r="C29" s="163"/>
      <c r="D29" s="163"/>
      <c r="E29" s="163"/>
      <c r="F29" s="15"/>
      <c r="G29" s="15"/>
    </row>
    <row r="30" spans="1:7" s="16" customFormat="1" ht="39" customHeight="1">
      <c r="A30" s="17" t="s">
        <v>13</v>
      </c>
      <c r="B30" s="159" t="s">
        <v>47</v>
      </c>
      <c r="C30" s="152"/>
      <c r="D30" s="151" t="s">
        <v>14</v>
      </c>
      <c r="E30" s="152"/>
      <c r="F30" s="18"/>
      <c r="G30" s="19"/>
    </row>
    <row r="31" spans="1:7" s="16" customFormat="1" ht="18" customHeight="1">
      <c r="A31" s="20" t="s">
        <v>4</v>
      </c>
      <c r="B31" s="197" t="s">
        <v>34</v>
      </c>
      <c r="C31" s="179"/>
      <c r="D31" s="178" t="s">
        <v>2</v>
      </c>
      <c r="E31" s="179"/>
      <c r="F31" s="18"/>
      <c r="G31" s="19"/>
    </row>
    <row r="32" spans="1:7" s="16" customFormat="1" ht="18" customHeight="1">
      <c r="A32" s="20" t="s">
        <v>35</v>
      </c>
      <c r="B32" s="197" t="s">
        <v>36</v>
      </c>
      <c r="C32" s="179"/>
      <c r="D32" s="178"/>
      <c r="E32" s="179"/>
      <c r="F32" s="18"/>
      <c r="G32" s="19"/>
    </row>
    <row r="33" spans="1:7" s="16" customFormat="1" ht="18" customHeight="1">
      <c r="A33" s="20" t="s">
        <v>16</v>
      </c>
      <c r="B33" s="198" t="s">
        <v>37</v>
      </c>
      <c r="C33" s="199"/>
      <c r="D33" s="178" t="s">
        <v>3</v>
      </c>
      <c r="E33" s="179"/>
      <c r="F33" s="18"/>
      <c r="G33" s="19"/>
    </row>
    <row r="34" spans="1:7" s="16" customFormat="1" ht="30" customHeight="1">
      <c r="A34" s="21" t="s">
        <v>38</v>
      </c>
      <c r="B34" s="198" t="s">
        <v>81</v>
      </c>
      <c r="C34" s="199"/>
      <c r="D34" s="178"/>
      <c r="E34" s="179"/>
      <c r="F34" s="18"/>
      <c r="G34" s="19"/>
    </row>
    <row r="35" spans="1:7" s="16" customFormat="1" ht="18" customHeight="1">
      <c r="A35" s="20" t="s">
        <v>17</v>
      </c>
      <c r="B35" s="198" t="s">
        <v>40</v>
      </c>
      <c r="C35" s="199"/>
      <c r="D35" s="178"/>
      <c r="E35" s="179"/>
      <c r="F35" s="18"/>
      <c r="G35" s="19"/>
    </row>
    <row r="36" spans="1:7" s="16" customFormat="1" ht="30" customHeight="1">
      <c r="A36" s="21" t="s">
        <v>41</v>
      </c>
      <c r="B36" s="198" t="s">
        <v>74</v>
      </c>
      <c r="C36" s="199"/>
      <c r="D36" s="178" t="s">
        <v>2</v>
      </c>
      <c r="E36" s="179"/>
      <c r="F36" s="18"/>
      <c r="G36" s="19"/>
    </row>
    <row r="37" spans="1:6" s="16" customFormat="1" ht="21" customHeight="1">
      <c r="A37" s="171" t="s">
        <v>15</v>
      </c>
      <c r="B37" s="171"/>
      <c r="C37" s="22"/>
      <c r="D37" s="23" t="s">
        <v>19</v>
      </c>
      <c r="E37" s="24" t="s">
        <v>146</v>
      </c>
      <c r="F37" s="25"/>
    </row>
  </sheetData>
  <sheetProtection selectLockedCells="1"/>
  <mergeCells count="28">
    <mergeCell ref="D4:E4"/>
    <mergeCell ref="B4:C4"/>
    <mergeCell ref="A37:B37"/>
    <mergeCell ref="B31:C31"/>
    <mergeCell ref="B32:C32"/>
    <mergeCell ref="B35:C35"/>
    <mergeCell ref="B36:C36"/>
    <mergeCell ref="B33:C33"/>
    <mergeCell ref="B34:C34"/>
    <mergeCell ref="A8:E8"/>
    <mergeCell ref="A1:E1"/>
    <mergeCell ref="B30:C30"/>
    <mergeCell ref="A29:E29"/>
    <mergeCell ref="A13:E13"/>
    <mergeCell ref="A17:E17"/>
    <mergeCell ref="A25:E25"/>
    <mergeCell ref="A3:C3"/>
    <mergeCell ref="B2:C2"/>
    <mergeCell ref="A28:B28"/>
    <mergeCell ref="C23:E24"/>
    <mergeCell ref="C28:E28"/>
    <mergeCell ref="D36:E36"/>
    <mergeCell ref="D30:E30"/>
    <mergeCell ref="D31:E31"/>
    <mergeCell ref="D32:E32"/>
    <mergeCell ref="D35:E35"/>
    <mergeCell ref="D33:E33"/>
    <mergeCell ref="D34:E34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J36"/>
  <sheetViews>
    <sheetView showGridLines="0" zoomScale="75" zoomScaleNormal="75" zoomScalePageLayoutView="0" workbookViewId="0" topLeftCell="A1">
      <selection activeCell="A18" sqref="A18"/>
    </sheetView>
  </sheetViews>
  <sheetFormatPr defaultColWidth="9.00390625" defaultRowHeight="12.75"/>
  <cols>
    <col min="1" max="1" width="37.00390625" style="2" customWidth="1"/>
    <col min="2" max="2" width="12.875" style="2" customWidth="1"/>
    <col min="3" max="3" width="13.875" style="2" customWidth="1"/>
    <col min="4" max="4" width="13.625" style="2" customWidth="1"/>
    <col min="5" max="5" width="14.75390625" style="2" customWidth="1"/>
    <col min="6" max="16384" width="9.125" style="2" customWidth="1"/>
  </cols>
  <sheetData>
    <row r="1" spans="1:5" ht="39.75" customHeight="1">
      <c r="A1" s="157" t="s">
        <v>100</v>
      </c>
      <c r="B1" s="180"/>
      <c r="C1" s="180"/>
      <c r="D1" s="180"/>
      <c r="E1" s="180"/>
    </row>
    <row r="2" spans="1:5" ht="19.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16.5" customHeight="1">
      <c r="A3" s="160" t="s">
        <v>29</v>
      </c>
      <c r="B3" s="161"/>
      <c r="C3" s="162"/>
      <c r="D3" s="5" t="s">
        <v>21</v>
      </c>
      <c r="E3" s="9"/>
    </row>
    <row r="4" spans="1:5" ht="18.75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4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5" ht="16.5" customHeight="1">
      <c r="A6" s="29" t="s">
        <v>0</v>
      </c>
      <c r="B6" s="30">
        <f>E2-SUM(B7:B23)</f>
        <v>39.02</v>
      </c>
      <c r="C6" s="31"/>
      <c r="D6" s="31"/>
      <c r="E6" s="31"/>
    </row>
    <row r="7" spans="1:5" ht="16.5" customHeight="1">
      <c r="A7" s="32" t="str">
        <f>Сырьё!$B$15</f>
        <v>Polycol  WP-20B</v>
      </c>
      <c r="B7" s="33">
        <f>E2*0.0042</f>
        <v>0.42</v>
      </c>
      <c r="C7" s="34"/>
      <c r="D7" s="34"/>
      <c r="E7" s="34"/>
    </row>
    <row r="8" spans="1:5" ht="15.75" customHeight="1">
      <c r="A8" s="184" t="s">
        <v>90</v>
      </c>
      <c r="B8" s="185"/>
      <c r="C8" s="185"/>
      <c r="D8" s="185"/>
      <c r="E8" s="186"/>
    </row>
    <row r="9" spans="1:5" ht="16.5" customHeight="1">
      <c r="A9" s="29" t="s">
        <v>30</v>
      </c>
      <c r="B9" s="30">
        <f>E2*0.015</f>
        <v>1.5</v>
      </c>
      <c r="C9" s="31"/>
      <c r="D9" s="31"/>
      <c r="E9" s="31"/>
    </row>
    <row r="10" spans="1:5" ht="16.5" customHeight="1">
      <c r="A10" s="35" t="str">
        <f>Сырьё!$B$5</f>
        <v>Диспергатор Opotan N4045</v>
      </c>
      <c r="B10" s="36">
        <f>E2*0.003</f>
        <v>0.3</v>
      </c>
      <c r="C10" s="37"/>
      <c r="D10" s="37"/>
      <c r="E10" s="37"/>
    </row>
    <row r="11" spans="1:5" ht="16.5" customHeight="1">
      <c r="A11" s="35" t="s">
        <v>52</v>
      </c>
      <c r="B11" s="36">
        <f>E2*0.0001</f>
        <v>0.01</v>
      </c>
      <c r="C11" s="37"/>
      <c r="D11" s="37"/>
      <c r="E11" s="37"/>
    </row>
    <row r="12" spans="1:5" ht="17.25" customHeight="1">
      <c r="A12" s="181" t="s">
        <v>86</v>
      </c>
      <c r="B12" s="182"/>
      <c r="C12" s="182"/>
      <c r="D12" s="182"/>
      <c r="E12" s="183"/>
    </row>
    <row r="13" spans="1:5" ht="16.5" customHeight="1">
      <c r="A13" s="29" t="str">
        <f>Сырьё!$B$8</f>
        <v>Lomon  R996</v>
      </c>
      <c r="B13" s="30">
        <f>E2*0.01</f>
        <v>1</v>
      </c>
      <c r="C13" s="31"/>
      <c r="D13" s="31"/>
      <c r="E13" s="31"/>
    </row>
    <row r="14" spans="1:5" ht="16.5" customHeight="1">
      <c r="A14" s="35" t="str">
        <f>Сырьё!B9</f>
        <v>Omyacarb 2-UR</v>
      </c>
      <c r="B14" s="36">
        <f>E2*0.4</f>
        <v>40</v>
      </c>
      <c r="C14" s="37"/>
      <c r="D14" s="37"/>
      <c r="E14" s="37"/>
    </row>
    <row r="15" spans="1:5" ht="16.5" customHeight="1">
      <c r="A15" s="35" t="s">
        <v>106</v>
      </c>
      <c r="B15" s="33">
        <f>E2*0.15</f>
        <v>15</v>
      </c>
      <c r="C15" s="34"/>
      <c r="D15" s="34"/>
      <c r="E15" s="34"/>
    </row>
    <row r="16" spans="1:5" ht="17.25" customHeight="1">
      <c r="A16" s="184" t="s">
        <v>89</v>
      </c>
      <c r="B16" s="185"/>
      <c r="C16" s="185"/>
      <c r="D16" s="185"/>
      <c r="E16" s="186"/>
    </row>
    <row r="17" spans="1:5" ht="16.5" customHeight="1">
      <c r="A17" s="35" t="str">
        <f>Сырьё!$B$6</f>
        <v>Пеногаситель Contrapen PR-194</v>
      </c>
      <c r="B17" s="36">
        <f>E2*0.0005</f>
        <v>0.05</v>
      </c>
      <c r="C17" s="37"/>
      <c r="D17" s="37"/>
      <c r="E17" s="37"/>
    </row>
    <row r="18" spans="1:5" ht="16.5" customHeight="1">
      <c r="A18" s="26" t="s">
        <v>73</v>
      </c>
      <c r="B18" s="30">
        <f>E2*0.02</f>
        <v>2</v>
      </c>
      <c r="C18" s="38"/>
      <c r="D18" s="38"/>
      <c r="E18" s="38"/>
    </row>
    <row r="19" spans="1:5" s="56" customFormat="1" ht="16.5" customHeight="1">
      <c r="A19" s="35" t="str">
        <f>Сырьё!$B$7</f>
        <v>Консервант Acticide FI</v>
      </c>
      <c r="B19" s="36">
        <f>E2*0.002</f>
        <v>0.2</v>
      </c>
      <c r="C19" s="37"/>
      <c r="D19" s="37"/>
      <c r="E19" s="37"/>
    </row>
    <row r="20" spans="1:5" ht="15.75" customHeight="1">
      <c r="A20" s="35" t="s">
        <v>61</v>
      </c>
      <c r="B20" s="36">
        <f>E2*0.0005</f>
        <v>0.05</v>
      </c>
      <c r="C20" s="37"/>
      <c r="D20" s="37"/>
      <c r="E20" s="37"/>
    </row>
    <row r="21" spans="1:5" ht="16.5" customHeight="1">
      <c r="A21" s="32" t="str">
        <f>Сырьё!$B$6</f>
        <v>Пеногаситель Contrapen PR-194</v>
      </c>
      <c r="B21" s="33">
        <f>E2*0.0005</f>
        <v>0.05</v>
      </c>
      <c r="C21" s="34"/>
      <c r="D21" s="34"/>
      <c r="E21" s="34"/>
    </row>
    <row r="22" spans="1:5" ht="16.5" customHeight="1">
      <c r="A22" s="32" t="str">
        <f>Сырьё!$B$17</f>
        <v>Загуститель Rheovis 112</v>
      </c>
      <c r="B22" s="33">
        <f>E2*0.002</f>
        <v>0.2</v>
      </c>
      <c r="C22" s="190" t="s">
        <v>91</v>
      </c>
      <c r="D22" s="191"/>
      <c r="E22" s="192"/>
    </row>
    <row r="23" spans="1:5" ht="16.5" customHeight="1">
      <c r="A23" s="32" t="s">
        <v>0</v>
      </c>
      <c r="B23" s="33">
        <f>E2*0.002</f>
        <v>0.2</v>
      </c>
      <c r="C23" s="193"/>
      <c r="D23" s="194"/>
      <c r="E23" s="195"/>
    </row>
    <row r="24" spans="1:5" ht="33" customHeight="1">
      <c r="A24" s="187" t="s">
        <v>92</v>
      </c>
      <c r="B24" s="188"/>
      <c r="C24" s="188"/>
      <c r="D24" s="188"/>
      <c r="E24" s="189"/>
    </row>
    <row r="25" spans="1:5" ht="14.25" customHeight="1">
      <c r="A25" s="4" t="s">
        <v>11</v>
      </c>
      <c r="B25" s="3">
        <f>SUM(B6:B23)</f>
        <v>100</v>
      </c>
      <c r="C25" s="1"/>
      <c r="D25" s="1"/>
      <c r="E25" s="1"/>
    </row>
    <row r="26" spans="1:5" ht="10.5" customHeight="1">
      <c r="A26" s="12" t="s">
        <v>32</v>
      </c>
      <c r="B26" s="13">
        <f>(B7+B9*0.1+B10*0.4+B11+B18*0.5+B13+B14+B15+(B19+B21+B22)*0.3)*100/E2</f>
        <v>57.835</v>
      </c>
      <c r="C26" s="14"/>
      <c r="D26" s="14"/>
      <c r="E26" s="14"/>
    </row>
    <row r="27" spans="1:5" ht="17.25" customHeight="1">
      <c r="A27" s="148" t="s">
        <v>45</v>
      </c>
      <c r="B27" s="148"/>
      <c r="C27" s="148" t="s">
        <v>12</v>
      </c>
      <c r="D27" s="148"/>
      <c r="E27" s="148"/>
    </row>
    <row r="28" spans="1:10" s="16" customFormat="1" ht="15" customHeight="1">
      <c r="A28" s="163" t="s">
        <v>33</v>
      </c>
      <c r="B28" s="163"/>
      <c r="C28" s="163"/>
      <c r="D28" s="163"/>
      <c r="E28" s="163"/>
      <c r="F28" s="15"/>
      <c r="G28" s="15"/>
      <c r="H28" s="15"/>
      <c r="I28" s="15"/>
      <c r="J28" s="15"/>
    </row>
    <row r="29" spans="1:10" s="16" customFormat="1" ht="39" customHeight="1">
      <c r="A29" s="17" t="s">
        <v>13</v>
      </c>
      <c r="B29" s="159" t="s">
        <v>47</v>
      </c>
      <c r="C29" s="152"/>
      <c r="D29" s="151" t="s">
        <v>14</v>
      </c>
      <c r="E29" s="152"/>
      <c r="F29" s="18"/>
      <c r="G29" s="19"/>
      <c r="H29" s="19"/>
      <c r="I29" s="19"/>
      <c r="J29" s="19"/>
    </row>
    <row r="30" spans="1:10" s="16" customFormat="1" ht="18" customHeight="1">
      <c r="A30" s="20" t="s">
        <v>4</v>
      </c>
      <c r="B30" s="197" t="s">
        <v>34</v>
      </c>
      <c r="C30" s="179"/>
      <c r="D30" s="178" t="s">
        <v>2</v>
      </c>
      <c r="E30" s="179"/>
      <c r="F30" s="18"/>
      <c r="G30" s="19"/>
      <c r="H30" s="19"/>
      <c r="I30" s="19"/>
      <c r="J30" s="19"/>
    </row>
    <row r="31" spans="1:10" s="16" customFormat="1" ht="18" customHeight="1">
      <c r="A31" s="20" t="s">
        <v>35</v>
      </c>
      <c r="B31" s="197" t="s">
        <v>36</v>
      </c>
      <c r="C31" s="179"/>
      <c r="D31" s="178"/>
      <c r="E31" s="179"/>
      <c r="F31" s="18"/>
      <c r="G31" s="19"/>
      <c r="H31" s="19"/>
      <c r="I31" s="19"/>
      <c r="J31" s="19"/>
    </row>
    <row r="32" spans="1:10" s="16" customFormat="1" ht="18" customHeight="1">
      <c r="A32" s="20" t="s">
        <v>16</v>
      </c>
      <c r="B32" s="198" t="s">
        <v>37</v>
      </c>
      <c r="C32" s="199"/>
      <c r="D32" s="178" t="s">
        <v>3</v>
      </c>
      <c r="E32" s="179"/>
      <c r="F32" s="18"/>
      <c r="G32" s="19"/>
      <c r="H32" s="19"/>
      <c r="I32" s="19"/>
      <c r="J32" s="19"/>
    </row>
    <row r="33" spans="1:10" s="16" customFormat="1" ht="30" customHeight="1">
      <c r="A33" s="21" t="s">
        <v>38</v>
      </c>
      <c r="B33" s="198" t="s">
        <v>81</v>
      </c>
      <c r="C33" s="199"/>
      <c r="D33" s="178"/>
      <c r="E33" s="179"/>
      <c r="F33" s="18"/>
      <c r="G33" s="19"/>
      <c r="H33" s="19"/>
      <c r="I33" s="19"/>
      <c r="J33" s="19"/>
    </row>
    <row r="34" spans="1:10" s="16" customFormat="1" ht="18" customHeight="1">
      <c r="A34" s="20" t="s">
        <v>17</v>
      </c>
      <c r="B34" s="198" t="s">
        <v>40</v>
      </c>
      <c r="C34" s="199"/>
      <c r="D34" s="178"/>
      <c r="E34" s="179"/>
      <c r="F34" s="18"/>
      <c r="G34" s="19"/>
      <c r="H34" s="19"/>
      <c r="I34" s="19"/>
      <c r="J34" s="19"/>
    </row>
    <row r="35" spans="1:10" s="16" customFormat="1" ht="30" customHeight="1">
      <c r="A35" s="21" t="s">
        <v>41</v>
      </c>
      <c r="B35" s="198" t="s">
        <v>42</v>
      </c>
      <c r="C35" s="199"/>
      <c r="D35" s="178" t="s">
        <v>2</v>
      </c>
      <c r="E35" s="179"/>
      <c r="F35" s="18"/>
      <c r="G35" s="19"/>
      <c r="H35" s="19"/>
      <c r="I35" s="19"/>
      <c r="J35" s="19"/>
    </row>
    <row r="36" spans="1:6" s="16" customFormat="1" ht="24" customHeight="1">
      <c r="A36" s="171" t="s">
        <v>15</v>
      </c>
      <c r="B36" s="171"/>
      <c r="C36" s="22"/>
      <c r="D36" s="23" t="s">
        <v>19</v>
      </c>
      <c r="E36" s="24" t="s">
        <v>107</v>
      </c>
      <c r="F36" s="25"/>
    </row>
  </sheetData>
  <sheetProtection password="CEFD" sheet="1" objects="1" scenarios="1" selectLockedCells="1"/>
  <mergeCells count="28">
    <mergeCell ref="D4:E4"/>
    <mergeCell ref="B4:C4"/>
    <mergeCell ref="A36:B36"/>
    <mergeCell ref="B30:C30"/>
    <mergeCell ref="B31:C31"/>
    <mergeCell ref="B34:C34"/>
    <mergeCell ref="B35:C35"/>
    <mergeCell ref="B32:C32"/>
    <mergeCell ref="B33:C33"/>
    <mergeCell ref="A8:E8"/>
    <mergeCell ref="A1:E1"/>
    <mergeCell ref="B29:C29"/>
    <mergeCell ref="A28:E28"/>
    <mergeCell ref="A12:E12"/>
    <mergeCell ref="A16:E16"/>
    <mergeCell ref="A24:E24"/>
    <mergeCell ref="A3:C3"/>
    <mergeCell ref="B2:C2"/>
    <mergeCell ref="A27:B27"/>
    <mergeCell ref="C22:E23"/>
    <mergeCell ref="C27:E27"/>
    <mergeCell ref="D35:E35"/>
    <mergeCell ref="D29:E29"/>
    <mergeCell ref="D30:E30"/>
    <mergeCell ref="D31:E31"/>
    <mergeCell ref="D34:E34"/>
    <mergeCell ref="D32:E32"/>
    <mergeCell ref="D33:E33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J36"/>
  <sheetViews>
    <sheetView showGridLines="0" zoomScale="75" zoomScaleNormal="75" zoomScalePageLayoutView="0" workbookViewId="0" topLeftCell="A1">
      <selection activeCell="A18" sqref="A18"/>
    </sheetView>
  </sheetViews>
  <sheetFormatPr defaultColWidth="9.00390625" defaultRowHeight="12.75"/>
  <cols>
    <col min="1" max="1" width="37.375" style="2" customWidth="1"/>
    <col min="2" max="2" width="11.375" style="2" customWidth="1"/>
    <col min="3" max="3" width="13.375" style="2" customWidth="1"/>
    <col min="4" max="5" width="14.75390625" style="2" customWidth="1"/>
    <col min="6" max="16384" width="9.125" style="2" customWidth="1"/>
  </cols>
  <sheetData>
    <row r="1" spans="1:5" ht="36" customHeight="1">
      <c r="A1" s="157" t="s">
        <v>57</v>
      </c>
      <c r="B1" s="180"/>
      <c r="C1" s="180"/>
      <c r="D1" s="180"/>
      <c r="E1" s="180"/>
    </row>
    <row r="2" spans="1:5" ht="18.7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24" customHeight="1">
      <c r="A3" s="160" t="s">
        <v>29</v>
      </c>
      <c r="B3" s="161"/>
      <c r="C3" s="162"/>
      <c r="D3" s="5" t="s">
        <v>21</v>
      </c>
      <c r="E3" s="9"/>
    </row>
    <row r="4" spans="1:5" ht="24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44.2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7" ht="16.5" customHeight="1">
      <c r="A6" s="29" t="s">
        <v>0</v>
      </c>
      <c r="B6" s="30">
        <f>E2-SUM(B7:B23)</f>
        <v>30.539999999999992</v>
      </c>
      <c r="C6" s="31"/>
      <c r="D6" s="31"/>
      <c r="E6" s="31"/>
      <c r="G6" s="58" t="s">
        <v>94</v>
      </c>
    </row>
    <row r="7" spans="1:7" ht="16.5" customHeight="1">
      <c r="A7" s="53" t="s">
        <v>93</v>
      </c>
      <c r="B7" s="54">
        <f>E2*0.1</f>
        <v>10</v>
      </c>
      <c r="C7" s="55"/>
      <c r="D7" s="55"/>
      <c r="E7" s="55"/>
      <c r="G7" s="57">
        <v>0.2</v>
      </c>
    </row>
    <row r="8" spans="1:5" ht="16.5" customHeight="1">
      <c r="A8" s="32" t="str">
        <f>Сырьё!$B$15</f>
        <v>Polycol  WP-20B</v>
      </c>
      <c r="B8" s="33">
        <f>IF(A8="Walocel XM 6000 PV",E2*0.0046,IF(A8="Walocel XM 20000 PV",E2*0.0036,E2*0.004))</f>
        <v>0.4</v>
      </c>
      <c r="C8" s="34"/>
      <c r="D8" s="34"/>
      <c r="E8" s="34"/>
    </row>
    <row r="9" spans="1:5" ht="15.75" customHeight="1">
      <c r="A9" s="184" t="s">
        <v>90</v>
      </c>
      <c r="B9" s="185"/>
      <c r="C9" s="185"/>
      <c r="D9" s="185"/>
      <c r="E9" s="186"/>
    </row>
    <row r="10" spans="1:5" ht="16.5" customHeight="1">
      <c r="A10" s="29" t="s">
        <v>30</v>
      </c>
      <c r="B10" s="30">
        <f>E2*0.015</f>
        <v>1.5</v>
      </c>
      <c r="C10" s="31"/>
      <c r="D10" s="31"/>
      <c r="E10" s="31"/>
    </row>
    <row r="11" spans="1:5" ht="16.5" customHeight="1">
      <c r="A11" s="35" t="str">
        <f>Сырьё!$B$5</f>
        <v>Диспергатор Opotan N4045</v>
      </c>
      <c r="B11" s="36">
        <f>E2*0.003</f>
        <v>0.3</v>
      </c>
      <c r="C11" s="37"/>
      <c r="D11" s="37"/>
      <c r="E11" s="37"/>
    </row>
    <row r="12" spans="1:5" ht="16.5" customHeight="1">
      <c r="A12" s="35" t="s">
        <v>52</v>
      </c>
      <c r="B12" s="36">
        <f>E2*0.0001</f>
        <v>0.01</v>
      </c>
      <c r="C12" s="37"/>
      <c r="D12" s="37"/>
      <c r="E12" s="37"/>
    </row>
    <row r="13" spans="1:5" ht="21" customHeight="1">
      <c r="A13" s="181" t="s">
        <v>86</v>
      </c>
      <c r="B13" s="182"/>
      <c r="C13" s="182"/>
      <c r="D13" s="182"/>
      <c r="E13" s="183"/>
    </row>
    <row r="14" spans="1:5" ht="16.5" customHeight="1">
      <c r="A14" s="29" t="str">
        <f>Сырьё!$B$8</f>
        <v>Lomon  R996</v>
      </c>
      <c r="B14" s="30">
        <f>E2*0.015</f>
        <v>1.5</v>
      </c>
      <c r="C14" s="31"/>
      <c r="D14" s="31"/>
      <c r="E14" s="31"/>
    </row>
    <row r="15" spans="1:5" ht="16.5" customHeight="1">
      <c r="A15" s="35" t="str">
        <f>Сырьё!$B$9</f>
        <v>Omyacarb 2-UR</v>
      </c>
      <c r="B15" s="36">
        <f>E2*0.4</f>
        <v>40</v>
      </c>
      <c r="C15" s="37"/>
      <c r="D15" s="37"/>
      <c r="E15" s="37"/>
    </row>
    <row r="16" spans="1:5" ht="16.5" customHeight="1">
      <c r="A16" s="35" t="s">
        <v>106</v>
      </c>
      <c r="B16" s="33">
        <f>E2*0.15</f>
        <v>15</v>
      </c>
      <c r="C16" s="34"/>
      <c r="D16" s="34"/>
      <c r="E16" s="34"/>
    </row>
    <row r="17" spans="1:5" ht="21" customHeight="1">
      <c r="A17" s="184" t="s">
        <v>89</v>
      </c>
      <c r="B17" s="185"/>
      <c r="C17" s="185"/>
      <c r="D17" s="185"/>
      <c r="E17" s="186"/>
    </row>
    <row r="18" spans="1:5" ht="16.5" customHeight="1">
      <c r="A18" s="26" t="s">
        <v>73</v>
      </c>
      <c r="B18" s="30">
        <f>E2*((2-10*G7)/50)</f>
        <v>0</v>
      </c>
      <c r="C18" s="38"/>
      <c r="D18" s="38"/>
      <c r="E18" s="38"/>
    </row>
    <row r="19" spans="1:5" ht="16.5" customHeight="1">
      <c r="A19" s="35" t="str">
        <f>Сырьё!$B$7</f>
        <v>Консервант Acticide FI</v>
      </c>
      <c r="B19" s="36">
        <f>E2*0.002</f>
        <v>0.2</v>
      </c>
      <c r="C19" s="37"/>
      <c r="D19" s="37"/>
      <c r="E19" s="37"/>
    </row>
    <row r="20" spans="1:5" ht="15.75" customHeight="1">
      <c r="A20" s="35" t="s">
        <v>61</v>
      </c>
      <c r="B20" s="36">
        <f>E2*0.0005</f>
        <v>0.05</v>
      </c>
      <c r="C20" s="37"/>
      <c r="D20" s="37"/>
      <c r="E20" s="37"/>
    </row>
    <row r="21" spans="1:5" s="56" customFormat="1" ht="16.5" customHeight="1">
      <c r="A21" s="35" t="str">
        <f>Сырьё!$B$6</f>
        <v>Пеногаситель Contrapen PR-194</v>
      </c>
      <c r="B21" s="36">
        <f>E2*0.001</f>
        <v>0.1</v>
      </c>
      <c r="C21" s="37"/>
      <c r="D21" s="37"/>
      <c r="E21" s="37"/>
    </row>
    <row r="22" spans="1:5" ht="16.5" customHeight="1">
      <c r="A22" s="32" t="str">
        <f>Сырьё!$B$17</f>
        <v>Загуститель Rheovis 112</v>
      </c>
      <c r="B22" s="33">
        <f>E2*0.002</f>
        <v>0.2</v>
      </c>
      <c r="C22" s="190" t="s">
        <v>91</v>
      </c>
      <c r="D22" s="191"/>
      <c r="E22" s="192"/>
    </row>
    <row r="23" spans="1:5" ht="16.5" customHeight="1">
      <c r="A23" s="32" t="s">
        <v>0</v>
      </c>
      <c r="B23" s="33">
        <f>E2*0.002</f>
        <v>0.2</v>
      </c>
      <c r="C23" s="193"/>
      <c r="D23" s="194"/>
      <c r="E23" s="195"/>
    </row>
    <row r="24" spans="1:5" ht="33" customHeight="1">
      <c r="A24" s="187" t="s">
        <v>92</v>
      </c>
      <c r="B24" s="188"/>
      <c r="C24" s="188"/>
      <c r="D24" s="188"/>
      <c r="E24" s="189"/>
    </row>
    <row r="25" spans="1:5" ht="16.5" customHeight="1">
      <c r="A25" s="4" t="s">
        <v>11</v>
      </c>
      <c r="B25" s="3">
        <f>SUM(B6:B23)</f>
        <v>99.99999999999999</v>
      </c>
      <c r="C25" s="1"/>
      <c r="D25" s="1"/>
      <c r="E25" s="1"/>
    </row>
    <row r="26" spans="1:5" ht="13.5" customHeight="1">
      <c r="A26" s="12" t="s">
        <v>32</v>
      </c>
      <c r="B26" s="13">
        <f>(10*G7+B8+B10*0.1+B11*0.4+B12+B14+B15+B16+B18*0.5+(B21+B22)*0.3)*100/E2</f>
        <v>59.27</v>
      </c>
      <c r="C26" s="14"/>
      <c r="D26" s="14"/>
      <c r="E26" s="14"/>
    </row>
    <row r="27" spans="1:5" ht="21.75" customHeight="1">
      <c r="A27" s="148" t="s">
        <v>45</v>
      </c>
      <c r="B27" s="148"/>
      <c r="C27" s="148" t="s">
        <v>12</v>
      </c>
      <c r="D27" s="148"/>
      <c r="E27" s="148"/>
    </row>
    <row r="28" spans="1:10" s="16" customFormat="1" ht="11.25" customHeight="1">
      <c r="A28" s="163" t="s">
        <v>33</v>
      </c>
      <c r="B28" s="163"/>
      <c r="C28" s="163"/>
      <c r="D28" s="163"/>
      <c r="E28" s="163"/>
      <c r="F28" s="15"/>
      <c r="G28" s="15"/>
      <c r="H28" s="15"/>
      <c r="I28" s="15"/>
      <c r="J28" s="15"/>
    </row>
    <row r="29" spans="1:10" s="16" customFormat="1" ht="39" customHeight="1">
      <c r="A29" s="17" t="s">
        <v>13</v>
      </c>
      <c r="B29" s="159" t="s">
        <v>47</v>
      </c>
      <c r="C29" s="152"/>
      <c r="D29" s="151" t="s">
        <v>14</v>
      </c>
      <c r="E29" s="152"/>
      <c r="F29" s="18"/>
      <c r="G29" s="19"/>
      <c r="H29" s="19"/>
      <c r="I29" s="19"/>
      <c r="J29" s="19"/>
    </row>
    <row r="30" spans="1:10" s="16" customFormat="1" ht="18" customHeight="1">
      <c r="A30" s="20" t="s">
        <v>4</v>
      </c>
      <c r="B30" s="197" t="s">
        <v>34</v>
      </c>
      <c r="C30" s="179"/>
      <c r="D30" s="178" t="s">
        <v>2</v>
      </c>
      <c r="E30" s="179"/>
      <c r="F30" s="18"/>
      <c r="G30" s="19"/>
      <c r="H30" s="19"/>
      <c r="I30" s="19"/>
      <c r="J30" s="19"/>
    </row>
    <row r="31" spans="1:10" s="16" customFormat="1" ht="18" customHeight="1">
      <c r="A31" s="20" t="s">
        <v>35</v>
      </c>
      <c r="B31" s="197" t="s">
        <v>36</v>
      </c>
      <c r="C31" s="179"/>
      <c r="D31" s="178"/>
      <c r="E31" s="179"/>
      <c r="F31" s="18"/>
      <c r="G31" s="19"/>
      <c r="H31" s="19"/>
      <c r="I31" s="19"/>
      <c r="J31" s="19"/>
    </row>
    <row r="32" spans="1:10" s="16" customFormat="1" ht="18" customHeight="1">
      <c r="A32" s="20" t="s">
        <v>16</v>
      </c>
      <c r="B32" s="198" t="s">
        <v>37</v>
      </c>
      <c r="C32" s="199"/>
      <c r="D32" s="178" t="s">
        <v>3</v>
      </c>
      <c r="E32" s="179"/>
      <c r="F32" s="18"/>
      <c r="G32" s="19"/>
      <c r="H32" s="19"/>
      <c r="I32" s="19"/>
      <c r="J32" s="19"/>
    </row>
    <row r="33" spans="1:10" s="16" customFormat="1" ht="30" customHeight="1">
      <c r="A33" s="21" t="s">
        <v>38</v>
      </c>
      <c r="B33" s="198" t="s">
        <v>81</v>
      </c>
      <c r="C33" s="199"/>
      <c r="D33" s="178"/>
      <c r="E33" s="179"/>
      <c r="F33" s="18"/>
      <c r="G33" s="19"/>
      <c r="H33" s="19"/>
      <c r="I33" s="19"/>
      <c r="J33" s="19"/>
    </row>
    <row r="34" spans="1:10" s="16" customFormat="1" ht="18" customHeight="1">
      <c r="A34" s="20" t="s">
        <v>17</v>
      </c>
      <c r="B34" s="198" t="s">
        <v>40</v>
      </c>
      <c r="C34" s="199"/>
      <c r="D34" s="178"/>
      <c r="E34" s="179"/>
      <c r="F34" s="18"/>
      <c r="G34" s="19"/>
      <c r="H34" s="19"/>
      <c r="I34" s="19"/>
      <c r="J34" s="19"/>
    </row>
    <row r="35" spans="1:10" s="16" customFormat="1" ht="30" customHeight="1">
      <c r="A35" s="21" t="s">
        <v>41</v>
      </c>
      <c r="B35" s="198" t="s">
        <v>42</v>
      </c>
      <c r="C35" s="199"/>
      <c r="D35" s="178" t="s">
        <v>2</v>
      </c>
      <c r="E35" s="179"/>
      <c r="F35" s="18"/>
      <c r="G35" s="19"/>
      <c r="H35" s="19"/>
      <c r="I35" s="19"/>
      <c r="J35" s="19"/>
    </row>
    <row r="36" spans="1:6" s="16" customFormat="1" ht="14.25" customHeight="1">
      <c r="A36" s="171" t="s">
        <v>15</v>
      </c>
      <c r="B36" s="171"/>
      <c r="C36" s="22"/>
      <c r="D36" s="23" t="s">
        <v>19</v>
      </c>
      <c r="E36" s="24" t="s">
        <v>107</v>
      </c>
      <c r="F36" s="25"/>
    </row>
  </sheetData>
  <sheetProtection password="CEFD" sheet="1" objects="1" scenarios="1" selectLockedCells="1"/>
  <mergeCells count="28">
    <mergeCell ref="D4:E4"/>
    <mergeCell ref="B4:C4"/>
    <mergeCell ref="A36:B36"/>
    <mergeCell ref="B30:C30"/>
    <mergeCell ref="B31:C31"/>
    <mergeCell ref="B34:C34"/>
    <mergeCell ref="B35:C35"/>
    <mergeCell ref="B32:C32"/>
    <mergeCell ref="B33:C33"/>
    <mergeCell ref="C27:E27"/>
    <mergeCell ref="A1:E1"/>
    <mergeCell ref="B29:C29"/>
    <mergeCell ref="A28:E28"/>
    <mergeCell ref="A13:E13"/>
    <mergeCell ref="A17:E17"/>
    <mergeCell ref="A24:E24"/>
    <mergeCell ref="A3:C3"/>
    <mergeCell ref="B2:C2"/>
    <mergeCell ref="A27:B27"/>
    <mergeCell ref="A9:E9"/>
    <mergeCell ref="C22:E23"/>
    <mergeCell ref="D35:E35"/>
    <mergeCell ref="D29:E29"/>
    <mergeCell ref="D30:E30"/>
    <mergeCell ref="D31:E31"/>
    <mergeCell ref="D34:E34"/>
    <mergeCell ref="D32:E32"/>
    <mergeCell ref="D33:E33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J35"/>
  <sheetViews>
    <sheetView showGridLines="0" zoomScale="75" zoomScaleNormal="75" zoomScalePageLayoutView="0" workbookViewId="0" topLeftCell="A1">
      <selection activeCell="A17" sqref="A17"/>
    </sheetView>
  </sheetViews>
  <sheetFormatPr defaultColWidth="9.00390625" defaultRowHeight="12.75"/>
  <cols>
    <col min="1" max="1" width="33.875" style="2" customWidth="1"/>
    <col min="2" max="2" width="11.25390625" style="2" customWidth="1"/>
    <col min="3" max="3" width="13.625" style="2" customWidth="1"/>
    <col min="4" max="5" width="14.75390625" style="2" customWidth="1"/>
    <col min="6" max="16384" width="9.125" style="2" customWidth="1"/>
  </cols>
  <sheetData>
    <row r="1" spans="1:5" ht="36" customHeight="1">
      <c r="A1" s="157" t="s">
        <v>101</v>
      </c>
      <c r="B1" s="180"/>
      <c r="C1" s="180"/>
      <c r="D1" s="180"/>
      <c r="E1" s="180"/>
    </row>
    <row r="2" spans="1:5" ht="18.7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24" customHeight="1">
      <c r="A3" s="160" t="s">
        <v>29</v>
      </c>
      <c r="B3" s="161"/>
      <c r="C3" s="162"/>
      <c r="D3" s="5" t="s">
        <v>21</v>
      </c>
      <c r="E3" s="9"/>
    </row>
    <row r="4" spans="1:5" ht="24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45.7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5" ht="16.5" customHeight="1">
      <c r="A6" s="29" t="s">
        <v>0</v>
      </c>
      <c r="B6" s="30">
        <f>E2-SUM(B7:B21)</f>
        <v>36.739999999999995</v>
      </c>
      <c r="C6" s="31"/>
      <c r="D6" s="31"/>
      <c r="E6" s="31"/>
    </row>
    <row r="7" spans="1:5" ht="16.5" customHeight="1">
      <c r="A7" s="32" t="str">
        <f>Сырьё!$B$15</f>
        <v>Polycol  WP-20B</v>
      </c>
      <c r="B7" s="33">
        <f>IF(A7="Walocel XM 6000 PV",E2*0.0046,IF(A7="Walocel XM 20000 PV",E2*0.0036,E2*0.004))</f>
        <v>0.4</v>
      </c>
      <c r="C7" s="34"/>
      <c r="D7" s="34"/>
      <c r="E7" s="34"/>
    </row>
    <row r="8" spans="1:5" ht="21" customHeight="1">
      <c r="A8" s="184" t="s">
        <v>90</v>
      </c>
      <c r="B8" s="185"/>
      <c r="C8" s="185"/>
      <c r="D8" s="185"/>
      <c r="E8" s="186"/>
    </row>
    <row r="9" spans="1:5" ht="16.5" customHeight="1">
      <c r="A9" s="29" t="s">
        <v>30</v>
      </c>
      <c r="B9" s="30">
        <f>E2*0.015</f>
        <v>1.5</v>
      </c>
      <c r="C9" s="31"/>
      <c r="D9" s="31"/>
      <c r="E9" s="31"/>
    </row>
    <row r="10" spans="1:5" ht="16.5" customHeight="1">
      <c r="A10" s="35" t="str">
        <f>Сырьё!$B$5</f>
        <v>Диспергатор Opotan N4045</v>
      </c>
      <c r="B10" s="36">
        <f>E2*0.003</f>
        <v>0.3</v>
      </c>
      <c r="C10" s="37"/>
      <c r="D10" s="37"/>
      <c r="E10" s="37"/>
    </row>
    <row r="11" spans="1:5" ht="16.5" customHeight="1">
      <c r="A11" s="35" t="s">
        <v>52</v>
      </c>
      <c r="B11" s="36">
        <f>E2*0.0001</f>
        <v>0.01</v>
      </c>
      <c r="C11" s="37"/>
      <c r="D11" s="37"/>
      <c r="E11" s="37"/>
    </row>
    <row r="12" spans="1:5" ht="21" customHeight="1">
      <c r="A12" s="181" t="s">
        <v>86</v>
      </c>
      <c r="B12" s="182"/>
      <c r="C12" s="182"/>
      <c r="D12" s="182"/>
      <c r="E12" s="183"/>
    </row>
    <row r="13" spans="1:5" ht="16.5" customHeight="1">
      <c r="A13" s="61" t="e">
        <f>Сырьё!#REF!</f>
        <v>#REF!</v>
      </c>
      <c r="B13" s="30">
        <f>E2*0.015</f>
        <v>1.5</v>
      </c>
      <c r="C13" s="31"/>
      <c r="D13" s="31"/>
      <c r="E13" s="31"/>
    </row>
    <row r="14" spans="1:5" ht="16.5" customHeight="1">
      <c r="A14" s="35" t="str">
        <f>Сырьё!$B$9</f>
        <v>Omyacarb 2-UR</v>
      </c>
      <c r="B14" s="36">
        <f>E2*0.4</f>
        <v>40</v>
      </c>
      <c r="C14" s="37"/>
      <c r="D14" s="37"/>
      <c r="E14" s="37"/>
    </row>
    <row r="15" spans="1:5" ht="16.5" customHeight="1">
      <c r="A15" s="35" t="s">
        <v>106</v>
      </c>
      <c r="B15" s="33">
        <f>E2*0.15</f>
        <v>15</v>
      </c>
      <c r="C15" s="34"/>
      <c r="D15" s="34"/>
      <c r="E15" s="34"/>
    </row>
    <row r="16" spans="1:5" ht="21" customHeight="1">
      <c r="A16" s="184" t="s">
        <v>89</v>
      </c>
      <c r="B16" s="185"/>
      <c r="C16" s="185"/>
      <c r="D16" s="185"/>
      <c r="E16" s="186"/>
    </row>
    <row r="17" spans="1:5" ht="16.5" customHeight="1">
      <c r="A17" s="26" t="s">
        <v>73</v>
      </c>
      <c r="B17" s="30">
        <f>E2*0.04</f>
        <v>4</v>
      </c>
      <c r="C17" s="38"/>
      <c r="D17" s="38"/>
      <c r="E17" s="38"/>
    </row>
    <row r="18" spans="1:5" ht="16.5" customHeight="1">
      <c r="A18" s="35" t="str">
        <f>Сырьё!$B$7</f>
        <v>Консервант Acticide FI</v>
      </c>
      <c r="B18" s="36">
        <f>E2*0.002</f>
        <v>0.2</v>
      </c>
      <c r="C18" s="37"/>
      <c r="D18" s="37"/>
      <c r="E18" s="37"/>
    </row>
    <row r="19" spans="1:5" ht="15.75" customHeight="1">
      <c r="A19" s="35" t="s">
        <v>61</v>
      </c>
      <c r="B19" s="36">
        <f>E2*0.0005</f>
        <v>0.05</v>
      </c>
      <c r="C19" s="37"/>
      <c r="D19" s="37"/>
      <c r="E19" s="37"/>
    </row>
    <row r="20" spans="1:5" s="56" customFormat="1" ht="16.5" customHeight="1">
      <c r="A20" s="35" t="str">
        <f>Сырьё!$B$6</f>
        <v>Пеногаситель Contrapen PR-194</v>
      </c>
      <c r="B20" s="36">
        <f>E2*0.001</f>
        <v>0.1</v>
      </c>
      <c r="C20" s="37"/>
      <c r="D20" s="37"/>
      <c r="E20" s="37"/>
    </row>
    <row r="21" spans="1:5" ht="16.5" customHeight="1">
      <c r="A21" s="32" t="str">
        <f>Сырьё!$B$17</f>
        <v>Загуститель Rheovis 112</v>
      </c>
      <c r="B21" s="33">
        <f>E2*0.002</f>
        <v>0.2</v>
      </c>
      <c r="C21" s="190" t="s">
        <v>91</v>
      </c>
      <c r="D21" s="191"/>
      <c r="E21" s="192"/>
    </row>
    <row r="22" spans="1:5" ht="16.5" customHeight="1">
      <c r="A22" s="32" t="s">
        <v>0</v>
      </c>
      <c r="B22" s="33">
        <f>E2*0.002</f>
        <v>0.2</v>
      </c>
      <c r="C22" s="193"/>
      <c r="D22" s="194"/>
      <c r="E22" s="195"/>
    </row>
    <row r="23" spans="1:5" ht="33" customHeight="1">
      <c r="A23" s="187" t="s">
        <v>92</v>
      </c>
      <c r="B23" s="188"/>
      <c r="C23" s="188"/>
      <c r="D23" s="188"/>
      <c r="E23" s="189"/>
    </row>
    <row r="24" spans="1:5" ht="16.5" customHeight="1">
      <c r="A24" s="4" t="s">
        <v>11</v>
      </c>
      <c r="B24" s="3">
        <f>SUM(B6:B21)</f>
        <v>99.99999999999999</v>
      </c>
      <c r="C24" s="1"/>
      <c r="D24" s="1"/>
      <c r="E24" s="1"/>
    </row>
    <row r="25" spans="1:5" ht="13.5" customHeight="1">
      <c r="A25" s="12" t="s">
        <v>32</v>
      </c>
      <c r="B25" s="13">
        <f>(B7+B9*0.1+B10*0.4+B11+B13+B14+B15+B17*0.5+(B20+B21)*0.3)*100/E2</f>
        <v>59.27</v>
      </c>
      <c r="C25" s="14"/>
      <c r="D25" s="14"/>
      <c r="E25" s="14"/>
    </row>
    <row r="26" spans="1:5" ht="21.75" customHeight="1">
      <c r="A26" s="148" t="s">
        <v>45</v>
      </c>
      <c r="B26" s="148"/>
      <c r="C26" s="148" t="s">
        <v>12</v>
      </c>
      <c r="D26" s="148"/>
      <c r="E26" s="148"/>
    </row>
    <row r="27" spans="1:10" s="16" customFormat="1" ht="11.25" customHeight="1">
      <c r="A27" s="163" t="s">
        <v>33</v>
      </c>
      <c r="B27" s="163"/>
      <c r="C27" s="163"/>
      <c r="D27" s="163"/>
      <c r="E27" s="163"/>
      <c r="F27" s="15"/>
      <c r="G27" s="15"/>
      <c r="H27" s="15"/>
      <c r="I27" s="15"/>
      <c r="J27" s="15"/>
    </row>
    <row r="28" spans="1:10" s="16" customFormat="1" ht="39" customHeight="1">
      <c r="A28" s="17" t="s">
        <v>13</v>
      </c>
      <c r="B28" s="159" t="s">
        <v>47</v>
      </c>
      <c r="C28" s="152"/>
      <c r="D28" s="151" t="s">
        <v>14</v>
      </c>
      <c r="E28" s="152"/>
      <c r="F28" s="18"/>
      <c r="G28" s="19"/>
      <c r="H28" s="19"/>
      <c r="I28" s="19"/>
      <c r="J28" s="19"/>
    </row>
    <row r="29" spans="1:10" s="16" customFormat="1" ht="18" customHeight="1">
      <c r="A29" s="20" t="s">
        <v>4</v>
      </c>
      <c r="B29" s="197" t="s">
        <v>34</v>
      </c>
      <c r="C29" s="179"/>
      <c r="D29" s="178" t="s">
        <v>2</v>
      </c>
      <c r="E29" s="179"/>
      <c r="F29" s="18"/>
      <c r="G29" s="19"/>
      <c r="H29" s="19"/>
      <c r="I29" s="19"/>
      <c r="J29" s="19"/>
    </row>
    <row r="30" spans="1:10" s="16" customFormat="1" ht="18" customHeight="1">
      <c r="A30" s="20" t="s">
        <v>35</v>
      </c>
      <c r="B30" s="197" t="s">
        <v>36</v>
      </c>
      <c r="C30" s="179"/>
      <c r="D30" s="178"/>
      <c r="E30" s="179"/>
      <c r="F30" s="18"/>
      <c r="G30" s="19"/>
      <c r="H30" s="19"/>
      <c r="I30" s="19"/>
      <c r="J30" s="19"/>
    </row>
    <row r="31" spans="1:10" s="16" customFormat="1" ht="18" customHeight="1">
      <c r="A31" s="20" t="s">
        <v>16</v>
      </c>
      <c r="B31" s="198" t="s">
        <v>37</v>
      </c>
      <c r="C31" s="199"/>
      <c r="D31" s="178" t="s">
        <v>3</v>
      </c>
      <c r="E31" s="179"/>
      <c r="F31" s="18"/>
      <c r="G31" s="19"/>
      <c r="H31" s="19"/>
      <c r="I31" s="19"/>
      <c r="J31" s="19"/>
    </row>
    <row r="32" spans="1:10" s="16" customFormat="1" ht="30" customHeight="1">
      <c r="A32" s="21" t="s">
        <v>38</v>
      </c>
      <c r="B32" s="198" t="s">
        <v>81</v>
      </c>
      <c r="C32" s="199"/>
      <c r="D32" s="178"/>
      <c r="E32" s="179"/>
      <c r="F32" s="18"/>
      <c r="G32" s="19"/>
      <c r="H32" s="19"/>
      <c r="I32" s="19"/>
      <c r="J32" s="19"/>
    </row>
    <row r="33" spans="1:10" s="16" customFormat="1" ht="18" customHeight="1">
      <c r="A33" s="20" t="s">
        <v>17</v>
      </c>
      <c r="B33" s="198" t="s">
        <v>40</v>
      </c>
      <c r="C33" s="199"/>
      <c r="D33" s="178"/>
      <c r="E33" s="179"/>
      <c r="F33" s="18"/>
      <c r="G33" s="19"/>
      <c r="H33" s="19"/>
      <c r="I33" s="19"/>
      <c r="J33" s="19"/>
    </row>
    <row r="34" spans="1:10" s="16" customFormat="1" ht="30" customHeight="1">
      <c r="A34" s="21" t="s">
        <v>41</v>
      </c>
      <c r="B34" s="198" t="s">
        <v>42</v>
      </c>
      <c r="C34" s="199"/>
      <c r="D34" s="178" t="s">
        <v>2</v>
      </c>
      <c r="E34" s="179"/>
      <c r="F34" s="18"/>
      <c r="G34" s="19"/>
      <c r="H34" s="19"/>
      <c r="I34" s="19"/>
      <c r="J34" s="19"/>
    </row>
    <row r="35" spans="1:6" s="16" customFormat="1" ht="14.25" customHeight="1">
      <c r="A35" s="171" t="s">
        <v>15</v>
      </c>
      <c r="B35" s="171"/>
      <c r="C35" s="22"/>
      <c r="D35" s="23" t="s">
        <v>19</v>
      </c>
      <c r="E35" s="24" t="s">
        <v>102</v>
      </c>
      <c r="F35" s="25"/>
    </row>
  </sheetData>
  <sheetProtection password="CEFD" sheet="1" objects="1" scenarios="1" selectLockedCells="1"/>
  <mergeCells count="28">
    <mergeCell ref="C21:E22"/>
    <mergeCell ref="D34:E34"/>
    <mergeCell ref="D28:E28"/>
    <mergeCell ref="D29:E29"/>
    <mergeCell ref="D30:E30"/>
    <mergeCell ref="D33:E33"/>
    <mergeCell ref="D31:E31"/>
    <mergeCell ref="D32:E32"/>
    <mergeCell ref="A1:E1"/>
    <mergeCell ref="B28:C28"/>
    <mergeCell ref="A27:E27"/>
    <mergeCell ref="A12:E12"/>
    <mergeCell ref="A16:E16"/>
    <mergeCell ref="A23:E23"/>
    <mergeCell ref="A3:C3"/>
    <mergeCell ref="B2:C2"/>
    <mergeCell ref="A26:B26"/>
    <mergeCell ref="A8:E8"/>
    <mergeCell ref="D4:E4"/>
    <mergeCell ref="B4:C4"/>
    <mergeCell ref="A35:B35"/>
    <mergeCell ref="B29:C29"/>
    <mergeCell ref="B30:C30"/>
    <mergeCell ref="B33:C33"/>
    <mergeCell ref="B34:C34"/>
    <mergeCell ref="B31:C31"/>
    <mergeCell ref="B32:C32"/>
    <mergeCell ref="C26:E26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G39"/>
  <sheetViews>
    <sheetView showGridLines="0" zoomScale="75" zoomScaleNormal="75" zoomScalePageLayoutView="0" workbookViewId="0" topLeftCell="A1">
      <selection activeCell="E2" sqref="E2"/>
    </sheetView>
  </sheetViews>
  <sheetFormatPr defaultColWidth="9.00390625" defaultRowHeight="12.75"/>
  <cols>
    <col min="1" max="1" width="32.75390625" style="2" customWidth="1"/>
    <col min="2" max="5" width="14.75390625" style="2" customWidth="1"/>
    <col min="6" max="16384" width="9.125" style="2" customWidth="1"/>
  </cols>
  <sheetData>
    <row r="1" spans="1:5" ht="39" customHeight="1">
      <c r="A1" s="157" t="s">
        <v>62</v>
      </c>
      <c r="B1" s="180"/>
      <c r="C1" s="180"/>
      <c r="D1" s="180"/>
      <c r="E1" s="180"/>
    </row>
    <row r="2" spans="1:5" ht="1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15.75" customHeight="1">
      <c r="A3" s="160" t="s">
        <v>29</v>
      </c>
      <c r="B3" s="161"/>
      <c r="C3" s="162"/>
      <c r="D3" s="5" t="s">
        <v>21</v>
      </c>
      <c r="E3" s="9"/>
    </row>
    <row r="4" spans="1:5" ht="15.75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33.7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7" ht="16.5" customHeight="1">
      <c r="A6" s="29" t="s">
        <v>0</v>
      </c>
      <c r="B6" s="30">
        <f>E2-SUM(B7:B26)</f>
        <v>20.559999999999988</v>
      </c>
      <c r="C6" s="31"/>
      <c r="D6" s="31"/>
      <c r="E6" s="31"/>
      <c r="G6" s="58" t="s">
        <v>94</v>
      </c>
    </row>
    <row r="7" spans="1:7" ht="16.5" customHeight="1">
      <c r="A7" s="53" t="s">
        <v>93</v>
      </c>
      <c r="B7" s="54">
        <f>E2*0.2</f>
        <v>20</v>
      </c>
      <c r="C7" s="55"/>
      <c r="D7" s="55"/>
      <c r="E7" s="55"/>
      <c r="G7" s="57">
        <v>0.2</v>
      </c>
    </row>
    <row r="8" spans="1:5" ht="16.5" customHeight="1">
      <c r="A8" s="32" t="str">
        <f>Сырьё!$B$16</f>
        <v>Polycol  WP-20B</v>
      </c>
      <c r="B8" s="33">
        <f>E2*0.0028</f>
        <v>0.27999999999999997</v>
      </c>
      <c r="C8" s="34"/>
      <c r="D8" s="34"/>
      <c r="E8" s="34"/>
    </row>
    <row r="9" spans="1:5" ht="15.75" customHeight="1">
      <c r="A9" s="184" t="s">
        <v>90</v>
      </c>
      <c r="B9" s="185"/>
      <c r="C9" s="185"/>
      <c r="D9" s="185"/>
      <c r="E9" s="186"/>
    </row>
    <row r="10" spans="1:5" ht="16.5" customHeight="1">
      <c r="A10" s="29" t="s">
        <v>30</v>
      </c>
      <c r="B10" s="30">
        <f>E2*0.015</f>
        <v>1.5</v>
      </c>
      <c r="C10" s="31"/>
      <c r="D10" s="31"/>
      <c r="E10" s="31"/>
    </row>
    <row r="11" spans="1:5" ht="16.5" customHeight="1">
      <c r="A11" s="35" t="s">
        <v>1</v>
      </c>
      <c r="B11" s="36">
        <f>E2*0.03</f>
        <v>3</v>
      </c>
      <c r="C11" s="62"/>
      <c r="D11" s="62"/>
      <c r="E11" s="62"/>
    </row>
    <row r="12" spans="1:5" ht="16.5" customHeight="1">
      <c r="A12" s="35" t="str">
        <f>Сырьё!$B$5</f>
        <v>Диспергатор Opotan N4045</v>
      </c>
      <c r="B12" s="36">
        <f>E2*0.003</f>
        <v>0.3</v>
      </c>
      <c r="C12" s="37"/>
      <c r="D12" s="37"/>
      <c r="E12" s="37"/>
    </row>
    <row r="13" spans="1:5" ht="16.5" customHeight="1">
      <c r="A13" s="35" t="s">
        <v>52</v>
      </c>
      <c r="B13" s="36">
        <f>E2*0.0001</f>
        <v>0.01</v>
      </c>
      <c r="C13" s="37"/>
      <c r="D13" s="37"/>
      <c r="E13" s="37"/>
    </row>
    <row r="14" spans="1:5" ht="17.25" customHeight="1">
      <c r="A14" s="181" t="s">
        <v>86</v>
      </c>
      <c r="B14" s="182"/>
      <c r="C14" s="182"/>
      <c r="D14" s="182"/>
      <c r="E14" s="183"/>
    </row>
    <row r="15" spans="1:5" ht="16.5" customHeight="1">
      <c r="A15" s="29" t="s">
        <v>83</v>
      </c>
      <c r="B15" s="30">
        <f>E2*0.0005</f>
        <v>0.05</v>
      </c>
      <c r="C15" s="31"/>
      <c r="D15" s="31"/>
      <c r="E15" s="31"/>
    </row>
    <row r="16" spans="1:5" ht="16.5" customHeight="1">
      <c r="A16" s="61" t="str">
        <f>Сырьё!$B$8</f>
        <v>Lomon  R996</v>
      </c>
      <c r="B16" s="30">
        <f>E2*0.02</f>
        <v>2</v>
      </c>
      <c r="C16" s="31"/>
      <c r="D16" s="31"/>
      <c r="E16" s="31"/>
    </row>
    <row r="17" spans="1:5" ht="16.5" customHeight="1">
      <c r="A17" s="35" t="str">
        <f>Сырьё!$B$9</f>
        <v>Omyacarb 2-UR</v>
      </c>
      <c r="B17" s="36">
        <f>E2*0.4</f>
        <v>40</v>
      </c>
      <c r="C17" s="37"/>
      <c r="D17" s="37"/>
      <c r="E17" s="37"/>
    </row>
    <row r="18" spans="1:5" ht="16.5" customHeight="1">
      <c r="A18" s="35" t="s">
        <v>106</v>
      </c>
      <c r="B18" s="36">
        <f>E2*0.1</f>
        <v>10</v>
      </c>
      <c r="C18" s="37"/>
      <c r="D18" s="37"/>
      <c r="E18" s="37"/>
    </row>
    <row r="19" spans="1:5" ht="16.5" customHeight="1">
      <c r="A19" s="32" t="s">
        <v>99</v>
      </c>
      <c r="B19" s="33">
        <f>E2*0.005</f>
        <v>0.5</v>
      </c>
      <c r="C19" s="34"/>
      <c r="D19" s="34"/>
      <c r="E19" s="34"/>
    </row>
    <row r="20" spans="1:5" ht="17.25" customHeight="1">
      <c r="A20" s="184" t="s">
        <v>89</v>
      </c>
      <c r="B20" s="185"/>
      <c r="C20" s="185"/>
      <c r="D20" s="185"/>
      <c r="E20" s="186"/>
    </row>
    <row r="21" spans="1:5" ht="16.5" customHeight="1">
      <c r="A21" s="29" t="s">
        <v>97</v>
      </c>
      <c r="B21" s="30">
        <f>E2*((4.5-20*G7)/50)</f>
        <v>1</v>
      </c>
      <c r="C21" s="38"/>
      <c r="D21" s="38"/>
      <c r="E21" s="38"/>
    </row>
    <row r="22" spans="1:5" ht="16.5" customHeight="1">
      <c r="A22" s="35" t="str">
        <f>Сырьё!$B$7</f>
        <v>Консервант Acticide FI</v>
      </c>
      <c r="B22" s="36">
        <f>E2*0.002</f>
        <v>0.2</v>
      </c>
      <c r="C22" s="37"/>
      <c r="D22" s="37"/>
      <c r="E22" s="37"/>
    </row>
    <row r="23" spans="1:5" ht="15.75" customHeight="1">
      <c r="A23" s="35" t="s">
        <v>61</v>
      </c>
      <c r="B23" s="36">
        <f>E2*0.0005</f>
        <v>0.05</v>
      </c>
      <c r="C23" s="37"/>
      <c r="D23" s="37"/>
      <c r="E23" s="37"/>
    </row>
    <row r="24" spans="1:5" ht="16.5" customHeight="1">
      <c r="A24" s="35" t="str">
        <f>Сырьё!$B$6</f>
        <v>Пеногаситель Contrapen PR-194</v>
      </c>
      <c r="B24" s="36">
        <f>E2*0.0015</f>
        <v>0.15</v>
      </c>
      <c r="C24" s="37"/>
      <c r="D24" s="37"/>
      <c r="E24" s="37"/>
    </row>
    <row r="25" spans="1:5" ht="16.5" customHeight="1">
      <c r="A25" s="32" t="str">
        <f>Сырьё!$B$17</f>
        <v>Загуститель Rheovis 112</v>
      </c>
      <c r="B25" s="33">
        <f>E2*0.002</f>
        <v>0.2</v>
      </c>
      <c r="C25" s="190" t="s">
        <v>91</v>
      </c>
      <c r="D25" s="191"/>
      <c r="E25" s="192"/>
    </row>
    <row r="26" spans="1:5" ht="16.5" customHeight="1">
      <c r="A26" s="32" t="s">
        <v>0</v>
      </c>
      <c r="B26" s="33">
        <f>E2*0.002</f>
        <v>0.2</v>
      </c>
      <c r="C26" s="193"/>
      <c r="D26" s="194"/>
      <c r="E26" s="195"/>
    </row>
    <row r="27" spans="1:5" ht="33.75" customHeight="1">
      <c r="A27" s="187" t="s">
        <v>92</v>
      </c>
      <c r="B27" s="188"/>
      <c r="C27" s="188"/>
      <c r="D27" s="188"/>
      <c r="E27" s="189"/>
    </row>
    <row r="28" spans="1:5" ht="16.5" customHeight="1">
      <c r="A28" s="4" t="s">
        <v>11</v>
      </c>
      <c r="B28" s="3">
        <f>SUM(B6:B26)</f>
        <v>100</v>
      </c>
      <c r="C28" s="1"/>
      <c r="D28" s="1"/>
      <c r="E28" s="1"/>
    </row>
    <row r="29" spans="1:5" ht="16.5" customHeight="1">
      <c r="A29" s="12" t="s">
        <v>32</v>
      </c>
      <c r="B29" s="13">
        <f>(20*G7+B8+B10*0.1+B12*0.4+B13+B16+B17+B18+B21*0.5+(B24+B25)*0.3)*100/E2</f>
        <v>57.165</v>
      </c>
      <c r="C29" s="14"/>
      <c r="D29" s="14"/>
      <c r="E29" s="14"/>
    </row>
    <row r="30" spans="1:5" ht="21.75" customHeight="1">
      <c r="A30" s="148" t="s">
        <v>45</v>
      </c>
      <c r="B30" s="148"/>
      <c r="C30" s="148" t="s">
        <v>12</v>
      </c>
      <c r="D30" s="148"/>
      <c r="E30" s="148"/>
    </row>
    <row r="31" spans="1:7" s="16" customFormat="1" ht="21.75" customHeight="1">
      <c r="A31" s="163" t="s">
        <v>33</v>
      </c>
      <c r="B31" s="163"/>
      <c r="C31" s="163"/>
      <c r="D31" s="163"/>
      <c r="E31" s="163"/>
      <c r="F31" s="15"/>
      <c r="G31" s="15"/>
    </row>
    <row r="32" spans="1:7" s="16" customFormat="1" ht="39" customHeight="1">
      <c r="A32" s="17" t="s">
        <v>13</v>
      </c>
      <c r="B32" s="159" t="s">
        <v>47</v>
      </c>
      <c r="C32" s="152"/>
      <c r="D32" s="151" t="s">
        <v>14</v>
      </c>
      <c r="E32" s="152"/>
      <c r="F32" s="18"/>
      <c r="G32" s="19"/>
    </row>
    <row r="33" spans="1:7" s="16" customFormat="1" ht="18" customHeight="1">
      <c r="A33" s="20" t="s">
        <v>4</v>
      </c>
      <c r="B33" s="197" t="s">
        <v>34</v>
      </c>
      <c r="C33" s="179"/>
      <c r="D33" s="178" t="s">
        <v>2</v>
      </c>
      <c r="E33" s="179"/>
      <c r="F33" s="18"/>
      <c r="G33" s="19"/>
    </row>
    <row r="34" spans="1:7" s="16" customFormat="1" ht="18" customHeight="1">
      <c r="A34" s="20" t="s">
        <v>35</v>
      </c>
      <c r="B34" s="197" t="s">
        <v>36</v>
      </c>
      <c r="C34" s="179"/>
      <c r="D34" s="178"/>
      <c r="E34" s="179"/>
      <c r="F34" s="18"/>
      <c r="G34" s="19"/>
    </row>
    <row r="35" spans="1:7" s="16" customFormat="1" ht="18" customHeight="1">
      <c r="A35" s="20" t="s">
        <v>16</v>
      </c>
      <c r="B35" s="198" t="s">
        <v>37</v>
      </c>
      <c r="C35" s="199"/>
      <c r="D35" s="178" t="s">
        <v>3</v>
      </c>
      <c r="E35" s="179"/>
      <c r="F35" s="18"/>
      <c r="G35" s="19"/>
    </row>
    <row r="36" spans="1:7" s="16" customFormat="1" ht="30" customHeight="1">
      <c r="A36" s="21" t="s">
        <v>38</v>
      </c>
      <c r="B36" s="198" t="s">
        <v>81</v>
      </c>
      <c r="C36" s="199"/>
      <c r="D36" s="178"/>
      <c r="E36" s="179"/>
      <c r="F36" s="18"/>
      <c r="G36" s="19"/>
    </row>
    <row r="37" spans="1:7" s="16" customFormat="1" ht="18" customHeight="1">
      <c r="A37" s="20" t="s">
        <v>17</v>
      </c>
      <c r="B37" s="198" t="s">
        <v>40</v>
      </c>
      <c r="C37" s="199"/>
      <c r="D37" s="178"/>
      <c r="E37" s="179"/>
      <c r="F37" s="18"/>
      <c r="G37" s="19"/>
    </row>
    <row r="38" spans="1:7" s="16" customFormat="1" ht="30" customHeight="1">
      <c r="A38" s="21" t="s">
        <v>41</v>
      </c>
      <c r="B38" s="198" t="s">
        <v>42</v>
      </c>
      <c r="C38" s="199"/>
      <c r="D38" s="178" t="s">
        <v>2</v>
      </c>
      <c r="E38" s="179"/>
      <c r="F38" s="18"/>
      <c r="G38" s="19"/>
    </row>
    <row r="39" spans="1:6" s="16" customFormat="1" ht="24" customHeight="1">
      <c r="A39" s="171" t="s">
        <v>15</v>
      </c>
      <c r="B39" s="171"/>
      <c r="C39" s="22"/>
      <c r="D39" s="23" t="s">
        <v>19</v>
      </c>
      <c r="E39" s="24" t="s">
        <v>107</v>
      </c>
      <c r="F39" s="25"/>
    </row>
  </sheetData>
  <sheetProtection selectLockedCells="1"/>
  <mergeCells count="28">
    <mergeCell ref="D4:E4"/>
    <mergeCell ref="B4:C4"/>
    <mergeCell ref="A39:B39"/>
    <mergeCell ref="B33:C33"/>
    <mergeCell ref="B34:C34"/>
    <mergeCell ref="B37:C37"/>
    <mergeCell ref="B38:C38"/>
    <mergeCell ref="B35:C35"/>
    <mergeCell ref="B36:C36"/>
    <mergeCell ref="A9:E9"/>
    <mergeCell ref="A1:E1"/>
    <mergeCell ref="B32:C32"/>
    <mergeCell ref="A31:E31"/>
    <mergeCell ref="A14:E14"/>
    <mergeCell ref="A20:E20"/>
    <mergeCell ref="A27:E27"/>
    <mergeCell ref="A3:C3"/>
    <mergeCell ref="B2:C2"/>
    <mergeCell ref="A30:B30"/>
    <mergeCell ref="C25:E26"/>
    <mergeCell ref="C30:E30"/>
    <mergeCell ref="D38:E38"/>
    <mergeCell ref="D32:E32"/>
    <mergeCell ref="D33:E33"/>
    <mergeCell ref="D34:E34"/>
    <mergeCell ref="D37:E37"/>
    <mergeCell ref="D35:E35"/>
    <mergeCell ref="D36:E36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G38"/>
  <sheetViews>
    <sheetView showGridLines="0" zoomScale="75" zoomScaleNormal="75" zoomScalePageLayoutView="0" workbookViewId="0" topLeftCell="A1">
      <selection activeCell="E2" sqref="E2"/>
    </sheetView>
  </sheetViews>
  <sheetFormatPr defaultColWidth="9.00390625" defaultRowHeight="12.75"/>
  <cols>
    <col min="1" max="1" width="34.25390625" style="2" customWidth="1"/>
    <col min="2" max="2" width="14.75390625" style="2" customWidth="1"/>
    <col min="3" max="3" width="14.125" style="2" customWidth="1"/>
    <col min="4" max="4" width="13.375" style="2" customWidth="1"/>
    <col min="5" max="5" width="14.75390625" style="2" customWidth="1"/>
    <col min="6" max="16384" width="9.125" style="2" customWidth="1"/>
  </cols>
  <sheetData>
    <row r="1" spans="1:5" ht="39" customHeight="1">
      <c r="A1" s="157" t="s">
        <v>103</v>
      </c>
      <c r="B1" s="180"/>
      <c r="C1" s="180"/>
      <c r="D1" s="180"/>
      <c r="E1" s="180"/>
    </row>
    <row r="2" spans="1:5" ht="1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15.75" customHeight="1">
      <c r="A3" s="160" t="s">
        <v>29</v>
      </c>
      <c r="B3" s="161"/>
      <c r="C3" s="162"/>
      <c r="D3" s="5" t="s">
        <v>21</v>
      </c>
      <c r="E3" s="9"/>
    </row>
    <row r="4" spans="1:5" ht="15.75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33.7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5" ht="16.5" customHeight="1">
      <c r="A6" s="29" t="s">
        <v>0</v>
      </c>
      <c r="B6" s="30">
        <f>E2-SUM(B7:B24)</f>
        <v>32.81</v>
      </c>
      <c r="C6" s="31"/>
      <c r="D6" s="31"/>
      <c r="E6" s="31"/>
    </row>
    <row r="7" spans="1:5" ht="16.5" customHeight="1">
      <c r="A7" s="32" t="str">
        <f>Сырьё!$B$16</f>
        <v>Polycol  WP-20B</v>
      </c>
      <c r="B7" s="33">
        <f>IF(A7="Walocel XM 6000 PV",E2*0.0035,IF(A7="Walocel XM 20000 PV",E2*0.0028,E2*0.0028))</f>
        <v>0.27999999999999997</v>
      </c>
      <c r="C7" s="34"/>
      <c r="D7" s="34"/>
      <c r="E7" s="34"/>
    </row>
    <row r="8" spans="1:5" ht="15.75" customHeight="1">
      <c r="A8" s="184" t="s">
        <v>90</v>
      </c>
      <c r="B8" s="185"/>
      <c r="C8" s="185"/>
      <c r="D8" s="185"/>
      <c r="E8" s="186"/>
    </row>
    <row r="9" spans="1:5" ht="16.5" customHeight="1">
      <c r="A9" s="29" t="s">
        <v>30</v>
      </c>
      <c r="B9" s="30">
        <f>E2*0.015</f>
        <v>1.5</v>
      </c>
      <c r="C9" s="31"/>
      <c r="D9" s="31"/>
      <c r="E9" s="31"/>
    </row>
    <row r="10" spans="1:5" ht="16.5" customHeight="1">
      <c r="A10" s="35" t="str">
        <f>Сырьё!$B$5</f>
        <v>Диспергатор Opotan N4045</v>
      </c>
      <c r="B10" s="36">
        <f>E2*0.003</f>
        <v>0.3</v>
      </c>
      <c r="C10" s="37"/>
      <c r="D10" s="37"/>
      <c r="E10" s="37"/>
    </row>
    <row r="11" spans="1:5" ht="16.5" customHeight="1">
      <c r="A11" s="35" t="s">
        <v>52</v>
      </c>
      <c r="B11" s="36">
        <f>E2*0.0001</f>
        <v>0.01</v>
      </c>
      <c r="C11" s="37"/>
      <c r="D11" s="37"/>
      <c r="E11" s="37"/>
    </row>
    <row r="12" spans="1:5" ht="16.5" customHeight="1">
      <c r="A12" s="35" t="s">
        <v>1</v>
      </c>
      <c r="B12" s="36">
        <f>E2*0.03</f>
        <v>3</v>
      </c>
      <c r="C12" s="37"/>
      <c r="D12" s="37"/>
      <c r="E12" s="37"/>
    </row>
    <row r="13" spans="1:5" ht="17.25" customHeight="1">
      <c r="A13" s="181" t="s">
        <v>86</v>
      </c>
      <c r="B13" s="182"/>
      <c r="C13" s="182"/>
      <c r="D13" s="182"/>
      <c r="E13" s="183"/>
    </row>
    <row r="14" spans="1:5" ht="16.5" customHeight="1">
      <c r="A14" s="29" t="s">
        <v>83</v>
      </c>
      <c r="B14" s="30">
        <f>E2*0.0005</f>
        <v>0.05</v>
      </c>
      <c r="C14" s="31"/>
      <c r="D14" s="31"/>
      <c r="E14" s="31"/>
    </row>
    <row r="15" spans="1:5" ht="16.5" customHeight="1">
      <c r="A15" s="29" t="e">
        <f>Сырьё!#REF!</f>
        <v>#REF!</v>
      </c>
      <c r="B15" s="30">
        <f>E2*0.02</f>
        <v>2</v>
      </c>
      <c r="C15" s="31"/>
      <c r="D15" s="31"/>
      <c r="E15" s="31"/>
    </row>
    <row r="16" spans="1:5" ht="16.5" customHeight="1">
      <c r="A16" s="35" t="str">
        <f>Сырьё!$B$9</f>
        <v>Omyacarb 2-UR</v>
      </c>
      <c r="B16" s="36">
        <f>E2*0.4</f>
        <v>40</v>
      </c>
      <c r="C16" s="37"/>
      <c r="D16" s="37"/>
      <c r="E16" s="37"/>
    </row>
    <row r="17" spans="1:5" ht="16.5" customHeight="1">
      <c r="A17" s="35" t="s">
        <v>106</v>
      </c>
      <c r="B17" s="36">
        <f>E2*0.1</f>
        <v>10</v>
      </c>
      <c r="C17" s="37"/>
      <c r="D17" s="37"/>
      <c r="E17" s="37"/>
    </row>
    <row r="18" spans="1:5" ht="16.5" customHeight="1">
      <c r="A18" s="32" t="s">
        <v>99</v>
      </c>
      <c r="B18" s="33">
        <f>E2*0.005</f>
        <v>0.5</v>
      </c>
      <c r="C18" s="34"/>
      <c r="D18" s="34"/>
      <c r="E18" s="34"/>
    </row>
    <row r="19" spans="1:5" ht="17.25" customHeight="1">
      <c r="A19" s="184" t="s">
        <v>89</v>
      </c>
      <c r="B19" s="185"/>
      <c r="C19" s="185"/>
      <c r="D19" s="185"/>
      <c r="E19" s="186"/>
    </row>
    <row r="20" spans="1:5" ht="16.5" customHeight="1">
      <c r="A20" s="29" t="s">
        <v>97</v>
      </c>
      <c r="B20" s="30">
        <f>E2*0.09</f>
        <v>9</v>
      </c>
      <c r="C20" s="38"/>
      <c r="D20" s="38"/>
      <c r="E20" s="38"/>
    </row>
    <row r="21" spans="1:5" ht="16.5" customHeight="1">
      <c r="A21" s="35" t="str">
        <f>Сырьё!$B$7</f>
        <v>Консервант Acticide FI</v>
      </c>
      <c r="B21" s="36">
        <f>E2*0.002</f>
        <v>0.2</v>
      </c>
      <c r="C21" s="37"/>
      <c r="D21" s="37"/>
      <c r="E21" s="37"/>
    </row>
    <row r="22" spans="1:5" ht="15.75" customHeight="1">
      <c r="A22" s="35" t="s">
        <v>61</v>
      </c>
      <c r="B22" s="36">
        <f>E2*0.0005</f>
        <v>0.05</v>
      </c>
      <c r="C22" s="37"/>
      <c r="D22" s="37"/>
      <c r="E22" s="37"/>
    </row>
    <row r="23" spans="1:5" ht="16.5" customHeight="1">
      <c r="A23" s="35" t="str">
        <f>Сырьё!$B$6</f>
        <v>Пеногаситель Contrapen PR-194</v>
      </c>
      <c r="B23" s="36">
        <f>E2*0.001</f>
        <v>0.1</v>
      </c>
      <c r="C23" s="37"/>
      <c r="D23" s="37"/>
      <c r="E23" s="37"/>
    </row>
    <row r="24" spans="1:5" ht="16.5" customHeight="1">
      <c r="A24" s="32" t="str">
        <f>Сырьё!$B$17</f>
        <v>Загуститель Rheovis 112</v>
      </c>
      <c r="B24" s="33">
        <f>E2*0.002</f>
        <v>0.2</v>
      </c>
      <c r="C24" s="190" t="s">
        <v>91</v>
      </c>
      <c r="D24" s="191"/>
      <c r="E24" s="192"/>
    </row>
    <row r="25" spans="1:5" ht="16.5" customHeight="1">
      <c r="A25" s="32" t="s">
        <v>0</v>
      </c>
      <c r="B25" s="33">
        <f>E2*0.002</f>
        <v>0.2</v>
      </c>
      <c r="C25" s="193"/>
      <c r="D25" s="194"/>
      <c r="E25" s="195"/>
    </row>
    <row r="26" spans="1:5" ht="33.75" customHeight="1">
      <c r="A26" s="187" t="s">
        <v>92</v>
      </c>
      <c r="B26" s="188"/>
      <c r="C26" s="188"/>
      <c r="D26" s="188"/>
      <c r="E26" s="189"/>
    </row>
    <row r="27" spans="1:5" ht="16.5" customHeight="1">
      <c r="A27" s="4" t="s">
        <v>11</v>
      </c>
      <c r="B27" s="3">
        <f>SUM(B6:B24)</f>
        <v>99.99999999999999</v>
      </c>
      <c r="C27" s="1"/>
      <c r="D27" s="1"/>
      <c r="E27" s="1"/>
    </row>
    <row r="28" spans="1:5" ht="16.5" customHeight="1">
      <c r="A28" s="12" t="s">
        <v>32</v>
      </c>
      <c r="B28" s="13">
        <f>(B7+B9*0.1+B10*0.4+B11+B15+B16+B17+B20*0.5+(B23+B24)*0.3)*100/E2</f>
        <v>57.150000000000006</v>
      </c>
      <c r="C28" s="14"/>
      <c r="D28" s="14"/>
      <c r="E28" s="14"/>
    </row>
    <row r="29" spans="1:5" ht="21.75" customHeight="1">
      <c r="A29" s="148" t="s">
        <v>45</v>
      </c>
      <c r="B29" s="148"/>
      <c r="C29" s="148" t="s">
        <v>12</v>
      </c>
      <c r="D29" s="148"/>
      <c r="E29" s="148"/>
    </row>
    <row r="30" spans="1:7" s="16" customFormat="1" ht="21.75" customHeight="1">
      <c r="A30" s="163" t="s">
        <v>33</v>
      </c>
      <c r="B30" s="163"/>
      <c r="C30" s="163"/>
      <c r="D30" s="163"/>
      <c r="E30" s="163"/>
      <c r="F30" s="15"/>
      <c r="G30" s="15"/>
    </row>
    <row r="31" spans="1:7" s="16" customFormat="1" ht="39" customHeight="1">
      <c r="A31" s="17" t="s">
        <v>13</v>
      </c>
      <c r="B31" s="159" t="s">
        <v>47</v>
      </c>
      <c r="C31" s="152"/>
      <c r="D31" s="151" t="s">
        <v>14</v>
      </c>
      <c r="E31" s="152"/>
      <c r="F31" s="18"/>
      <c r="G31" s="19"/>
    </row>
    <row r="32" spans="1:7" s="16" customFormat="1" ht="18" customHeight="1">
      <c r="A32" s="20" t="s">
        <v>4</v>
      </c>
      <c r="B32" s="197" t="s">
        <v>34</v>
      </c>
      <c r="C32" s="179"/>
      <c r="D32" s="178" t="s">
        <v>2</v>
      </c>
      <c r="E32" s="179"/>
      <c r="F32" s="18"/>
      <c r="G32" s="19"/>
    </row>
    <row r="33" spans="1:7" s="16" customFormat="1" ht="18" customHeight="1">
      <c r="A33" s="20" t="s">
        <v>35</v>
      </c>
      <c r="B33" s="197" t="s">
        <v>36</v>
      </c>
      <c r="C33" s="179"/>
      <c r="D33" s="178"/>
      <c r="E33" s="179"/>
      <c r="F33" s="18"/>
      <c r="G33" s="19"/>
    </row>
    <row r="34" spans="1:7" s="16" customFormat="1" ht="18" customHeight="1">
      <c r="A34" s="20" t="s">
        <v>16</v>
      </c>
      <c r="B34" s="198" t="s">
        <v>37</v>
      </c>
      <c r="C34" s="199"/>
      <c r="D34" s="178" t="s">
        <v>3</v>
      </c>
      <c r="E34" s="179"/>
      <c r="F34" s="18"/>
      <c r="G34" s="19"/>
    </row>
    <row r="35" spans="1:7" s="16" customFormat="1" ht="30" customHeight="1">
      <c r="A35" s="21" t="s">
        <v>38</v>
      </c>
      <c r="B35" s="198" t="s">
        <v>81</v>
      </c>
      <c r="C35" s="199"/>
      <c r="D35" s="178"/>
      <c r="E35" s="179"/>
      <c r="F35" s="18"/>
      <c r="G35" s="19"/>
    </row>
    <row r="36" spans="1:7" s="16" customFormat="1" ht="18" customHeight="1">
      <c r="A36" s="20" t="s">
        <v>17</v>
      </c>
      <c r="B36" s="198" t="s">
        <v>40</v>
      </c>
      <c r="C36" s="199"/>
      <c r="D36" s="178"/>
      <c r="E36" s="179"/>
      <c r="F36" s="18"/>
      <c r="G36" s="19"/>
    </row>
    <row r="37" spans="1:7" s="16" customFormat="1" ht="30" customHeight="1">
      <c r="A37" s="21" t="s">
        <v>41</v>
      </c>
      <c r="B37" s="198" t="s">
        <v>42</v>
      </c>
      <c r="C37" s="199"/>
      <c r="D37" s="178" t="s">
        <v>2</v>
      </c>
      <c r="E37" s="179"/>
      <c r="F37" s="18"/>
      <c r="G37" s="19"/>
    </row>
    <row r="38" spans="1:6" s="16" customFormat="1" ht="24" customHeight="1">
      <c r="A38" s="171" t="s">
        <v>15</v>
      </c>
      <c r="B38" s="171"/>
      <c r="C38" s="22"/>
      <c r="D38" s="23" t="s">
        <v>19</v>
      </c>
      <c r="E38" s="24" t="s">
        <v>107</v>
      </c>
      <c r="F38" s="25"/>
    </row>
  </sheetData>
  <sheetProtection password="CEFD" sheet="1" objects="1" scenarios="1" selectLockedCells="1"/>
  <mergeCells count="28">
    <mergeCell ref="D4:E4"/>
    <mergeCell ref="B4:C4"/>
    <mergeCell ref="A38:B38"/>
    <mergeCell ref="B32:C32"/>
    <mergeCell ref="B33:C33"/>
    <mergeCell ref="B36:C36"/>
    <mergeCell ref="B37:C37"/>
    <mergeCell ref="B34:C34"/>
    <mergeCell ref="B35:C35"/>
    <mergeCell ref="A8:E8"/>
    <mergeCell ref="A1:E1"/>
    <mergeCell ref="B31:C31"/>
    <mergeCell ref="A30:E30"/>
    <mergeCell ref="A13:E13"/>
    <mergeCell ref="A19:E19"/>
    <mergeCell ref="A26:E26"/>
    <mergeCell ref="A3:C3"/>
    <mergeCell ref="B2:C2"/>
    <mergeCell ref="A29:B29"/>
    <mergeCell ref="C24:E25"/>
    <mergeCell ref="C29:E29"/>
    <mergeCell ref="D37:E37"/>
    <mergeCell ref="D31:E31"/>
    <mergeCell ref="D32:E32"/>
    <mergeCell ref="D33:E33"/>
    <mergeCell ref="D36:E36"/>
    <mergeCell ref="D34:E34"/>
    <mergeCell ref="D35:E35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G38"/>
  <sheetViews>
    <sheetView showGridLines="0" zoomScale="75" zoomScaleNormal="75" zoomScalePageLayoutView="0" workbookViewId="0" topLeftCell="A1">
      <selection activeCell="E2" sqref="E2"/>
    </sheetView>
  </sheetViews>
  <sheetFormatPr defaultColWidth="9.00390625" defaultRowHeight="12.75"/>
  <cols>
    <col min="1" max="1" width="34.25390625" style="2" customWidth="1"/>
    <col min="2" max="2" width="14.75390625" style="2" customWidth="1"/>
    <col min="3" max="3" width="14.125" style="2" customWidth="1"/>
    <col min="4" max="4" width="13.375" style="2" customWidth="1"/>
    <col min="5" max="5" width="14.75390625" style="2" customWidth="1"/>
    <col min="6" max="16384" width="9.125" style="2" customWidth="1"/>
  </cols>
  <sheetData>
    <row r="1" spans="1:5" ht="39" customHeight="1">
      <c r="A1" s="157" t="s">
        <v>103</v>
      </c>
      <c r="B1" s="180"/>
      <c r="C1" s="180"/>
      <c r="D1" s="180"/>
      <c r="E1" s="180"/>
    </row>
    <row r="2" spans="1:5" ht="1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15.75" customHeight="1">
      <c r="A3" s="160" t="s">
        <v>29</v>
      </c>
      <c r="B3" s="161"/>
      <c r="C3" s="162"/>
      <c r="D3" s="5" t="s">
        <v>21</v>
      </c>
      <c r="E3" s="9"/>
    </row>
    <row r="4" spans="1:5" ht="15.75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33.7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5" ht="16.5" customHeight="1">
      <c r="A6" s="29" t="s">
        <v>0</v>
      </c>
      <c r="B6" s="30">
        <f>E2-SUM(B7:B24)</f>
        <v>32.81</v>
      </c>
      <c r="C6" s="31"/>
      <c r="D6" s="31"/>
      <c r="E6" s="31"/>
    </row>
    <row r="7" spans="1:5" ht="16.5" customHeight="1">
      <c r="A7" s="32" t="str">
        <f>Сырьё!$B$16</f>
        <v>Polycol  WP-20B</v>
      </c>
      <c r="B7" s="33">
        <f>IF(A7="Walocel XM 6000 PV",E2*0.0035,IF(A7="Walocel XM 20000 PV",E2*0.0028,E2*0.0028))</f>
        <v>0.27999999999999997</v>
      </c>
      <c r="C7" s="34"/>
      <c r="D7" s="34"/>
      <c r="E7" s="34"/>
    </row>
    <row r="8" spans="1:5" ht="15.75" customHeight="1">
      <c r="A8" s="184" t="s">
        <v>90</v>
      </c>
      <c r="B8" s="185"/>
      <c r="C8" s="185"/>
      <c r="D8" s="185"/>
      <c r="E8" s="186"/>
    </row>
    <row r="9" spans="1:5" ht="16.5" customHeight="1">
      <c r="A9" s="29" t="s">
        <v>30</v>
      </c>
      <c r="B9" s="30">
        <f>E2*0.015</f>
        <v>1.5</v>
      </c>
      <c r="C9" s="31"/>
      <c r="D9" s="31"/>
      <c r="E9" s="31"/>
    </row>
    <row r="10" spans="1:5" ht="16.5" customHeight="1">
      <c r="A10" s="35" t="str">
        <f>Сырьё!$B$5</f>
        <v>Диспергатор Opotan N4045</v>
      </c>
      <c r="B10" s="36">
        <f>E2*0.003</f>
        <v>0.3</v>
      </c>
      <c r="C10" s="37"/>
      <c r="D10" s="37"/>
      <c r="E10" s="37"/>
    </row>
    <row r="11" spans="1:5" ht="16.5" customHeight="1">
      <c r="A11" s="35" t="s">
        <v>52</v>
      </c>
      <c r="B11" s="36">
        <f>E2*0.0001</f>
        <v>0.01</v>
      </c>
      <c r="C11" s="37"/>
      <c r="D11" s="37"/>
      <c r="E11" s="37"/>
    </row>
    <row r="12" spans="1:5" ht="16.5" customHeight="1">
      <c r="A12" s="35" t="s">
        <v>1</v>
      </c>
      <c r="B12" s="36">
        <f>E2*0.03</f>
        <v>3</v>
      </c>
      <c r="C12" s="37"/>
      <c r="D12" s="37"/>
      <c r="E12" s="37"/>
    </row>
    <row r="13" spans="1:5" ht="17.25" customHeight="1">
      <c r="A13" s="181" t="s">
        <v>86</v>
      </c>
      <c r="B13" s="182"/>
      <c r="C13" s="182"/>
      <c r="D13" s="182"/>
      <c r="E13" s="183"/>
    </row>
    <row r="14" spans="1:5" ht="16.5" customHeight="1">
      <c r="A14" s="29" t="s">
        <v>83</v>
      </c>
      <c r="B14" s="30">
        <f>E2*0.0005</f>
        <v>0.05</v>
      </c>
      <c r="C14" s="31"/>
      <c r="D14" s="31"/>
      <c r="E14" s="31"/>
    </row>
    <row r="15" spans="1:5" ht="16.5" customHeight="1">
      <c r="A15" s="29" t="str">
        <f>Сырьё!B8</f>
        <v>Lomon  R996</v>
      </c>
      <c r="B15" s="30">
        <f>E2*0.02</f>
        <v>2</v>
      </c>
      <c r="C15" s="31"/>
      <c r="D15" s="31"/>
      <c r="E15" s="31"/>
    </row>
    <row r="16" spans="1:5" ht="16.5" customHeight="1">
      <c r="A16" s="35" t="str">
        <f>Сырьё!$B$9</f>
        <v>Omyacarb 2-UR</v>
      </c>
      <c r="B16" s="36">
        <f>E2*0.4</f>
        <v>40</v>
      </c>
      <c r="C16" s="37"/>
      <c r="D16" s="37"/>
      <c r="E16" s="37"/>
    </row>
    <row r="17" spans="1:5" ht="16.5" customHeight="1">
      <c r="A17" s="35" t="s">
        <v>106</v>
      </c>
      <c r="B17" s="36">
        <f>E2*0.1</f>
        <v>10</v>
      </c>
      <c r="C17" s="37"/>
      <c r="D17" s="37"/>
      <c r="E17" s="37"/>
    </row>
    <row r="18" spans="1:5" ht="16.5" customHeight="1">
      <c r="A18" s="32" t="s">
        <v>99</v>
      </c>
      <c r="B18" s="33">
        <f>E2*0.005</f>
        <v>0.5</v>
      </c>
      <c r="C18" s="34"/>
      <c r="D18" s="34"/>
      <c r="E18" s="34"/>
    </row>
    <row r="19" spans="1:5" ht="17.25" customHeight="1">
      <c r="A19" s="184" t="s">
        <v>89</v>
      </c>
      <c r="B19" s="185"/>
      <c r="C19" s="185"/>
      <c r="D19" s="185"/>
      <c r="E19" s="186"/>
    </row>
    <row r="20" spans="1:5" ht="16.5" customHeight="1">
      <c r="A20" s="29" t="s">
        <v>97</v>
      </c>
      <c r="B20" s="30">
        <f>E2*0.09</f>
        <v>9</v>
      </c>
      <c r="C20" s="38"/>
      <c r="D20" s="38"/>
      <c r="E20" s="38"/>
    </row>
    <row r="21" spans="1:5" ht="16.5" customHeight="1">
      <c r="A21" s="35" t="str">
        <f>Сырьё!$B$7</f>
        <v>Консервант Acticide FI</v>
      </c>
      <c r="B21" s="36">
        <f>E2*0.002</f>
        <v>0.2</v>
      </c>
      <c r="C21" s="37"/>
      <c r="D21" s="37"/>
      <c r="E21" s="37"/>
    </row>
    <row r="22" spans="1:5" ht="15.75" customHeight="1">
      <c r="A22" s="35" t="s">
        <v>61</v>
      </c>
      <c r="B22" s="36">
        <f>E2*0.0005</f>
        <v>0.05</v>
      </c>
      <c r="C22" s="37"/>
      <c r="D22" s="37"/>
      <c r="E22" s="37"/>
    </row>
    <row r="23" spans="1:5" ht="16.5" customHeight="1">
      <c r="A23" s="35" t="str">
        <f>Сырьё!$B$6</f>
        <v>Пеногаситель Contrapen PR-194</v>
      </c>
      <c r="B23" s="36">
        <f>E2*0.001</f>
        <v>0.1</v>
      </c>
      <c r="C23" s="37"/>
      <c r="D23" s="37"/>
      <c r="E23" s="37"/>
    </row>
    <row r="24" spans="1:5" ht="16.5" customHeight="1">
      <c r="A24" s="32" t="str">
        <f>Сырьё!$B$17</f>
        <v>Загуститель Rheovis 112</v>
      </c>
      <c r="B24" s="33">
        <f>E2*0.002</f>
        <v>0.2</v>
      </c>
      <c r="C24" s="190" t="s">
        <v>91</v>
      </c>
      <c r="D24" s="191"/>
      <c r="E24" s="192"/>
    </row>
    <row r="25" spans="1:5" ht="16.5" customHeight="1">
      <c r="A25" s="32" t="s">
        <v>0</v>
      </c>
      <c r="B25" s="33">
        <f>E2*0.002</f>
        <v>0.2</v>
      </c>
      <c r="C25" s="193"/>
      <c r="D25" s="194"/>
      <c r="E25" s="195"/>
    </row>
    <row r="26" spans="1:5" ht="33.75" customHeight="1">
      <c r="A26" s="187" t="s">
        <v>92</v>
      </c>
      <c r="B26" s="188"/>
      <c r="C26" s="188"/>
      <c r="D26" s="188"/>
      <c r="E26" s="189"/>
    </row>
    <row r="27" spans="1:5" ht="16.5" customHeight="1">
      <c r="A27" s="4" t="s">
        <v>11</v>
      </c>
      <c r="B27" s="3">
        <f>SUM(B6:B24)</f>
        <v>99.99999999999999</v>
      </c>
      <c r="C27" s="1"/>
      <c r="D27" s="1"/>
      <c r="E27" s="1"/>
    </row>
    <row r="28" spans="1:5" ht="16.5" customHeight="1">
      <c r="A28" s="12" t="s">
        <v>32</v>
      </c>
      <c r="B28" s="13">
        <f>(B7+B9*0.1+B10*0.4+B11+B15+B16+B17+B20*0.5+(B23+B24)*0.3)*100/E2</f>
        <v>57.150000000000006</v>
      </c>
      <c r="C28" s="14"/>
      <c r="D28" s="14"/>
      <c r="E28" s="14"/>
    </row>
    <row r="29" spans="1:5" ht="21.75" customHeight="1">
      <c r="A29" s="148" t="s">
        <v>45</v>
      </c>
      <c r="B29" s="148"/>
      <c r="C29" s="148" t="s">
        <v>12</v>
      </c>
      <c r="D29" s="148"/>
      <c r="E29" s="148"/>
    </row>
    <row r="30" spans="1:7" s="16" customFormat="1" ht="21.75" customHeight="1">
      <c r="A30" s="163" t="s">
        <v>33</v>
      </c>
      <c r="B30" s="163"/>
      <c r="C30" s="163"/>
      <c r="D30" s="163"/>
      <c r="E30" s="163"/>
      <c r="F30" s="15"/>
      <c r="G30" s="15"/>
    </row>
    <row r="31" spans="1:7" s="16" customFormat="1" ht="39" customHeight="1">
      <c r="A31" s="17" t="s">
        <v>13</v>
      </c>
      <c r="B31" s="159" t="s">
        <v>47</v>
      </c>
      <c r="C31" s="152"/>
      <c r="D31" s="151" t="s">
        <v>14</v>
      </c>
      <c r="E31" s="152"/>
      <c r="F31" s="18"/>
      <c r="G31" s="19"/>
    </row>
    <row r="32" spans="1:7" s="16" customFormat="1" ht="18" customHeight="1">
      <c r="A32" s="20" t="s">
        <v>4</v>
      </c>
      <c r="B32" s="197" t="s">
        <v>34</v>
      </c>
      <c r="C32" s="179"/>
      <c r="D32" s="178" t="s">
        <v>2</v>
      </c>
      <c r="E32" s="179"/>
      <c r="F32" s="18"/>
      <c r="G32" s="19"/>
    </row>
    <row r="33" spans="1:7" s="16" customFormat="1" ht="18" customHeight="1">
      <c r="A33" s="20" t="s">
        <v>35</v>
      </c>
      <c r="B33" s="197" t="s">
        <v>36</v>
      </c>
      <c r="C33" s="179"/>
      <c r="D33" s="178"/>
      <c r="E33" s="179"/>
      <c r="F33" s="18"/>
      <c r="G33" s="19"/>
    </row>
    <row r="34" spans="1:7" s="16" customFormat="1" ht="18" customHeight="1">
      <c r="A34" s="20" t="s">
        <v>16</v>
      </c>
      <c r="B34" s="198" t="s">
        <v>37</v>
      </c>
      <c r="C34" s="199"/>
      <c r="D34" s="178" t="s">
        <v>3</v>
      </c>
      <c r="E34" s="179"/>
      <c r="F34" s="18"/>
      <c r="G34" s="19"/>
    </row>
    <row r="35" spans="1:7" s="16" customFormat="1" ht="30" customHeight="1">
      <c r="A35" s="21" t="s">
        <v>38</v>
      </c>
      <c r="B35" s="198" t="s">
        <v>81</v>
      </c>
      <c r="C35" s="199"/>
      <c r="D35" s="178"/>
      <c r="E35" s="179"/>
      <c r="F35" s="18"/>
      <c r="G35" s="19"/>
    </row>
    <row r="36" spans="1:7" s="16" customFormat="1" ht="18" customHeight="1">
      <c r="A36" s="20" t="s">
        <v>17</v>
      </c>
      <c r="B36" s="198" t="s">
        <v>40</v>
      </c>
      <c r="C36" s="199"/>
      <c r="D36" s="178"/>
      <c r="E36" s="179"/>
      <c r="F36" s="18"/>
      <c r="G36" s="19"/>
    </row>
    <row r="37" spans="1:7" s="16" customFormat="1" ht="30" customHeight="1">
      <c r="A37" s="21" t="s">
        <v>41</v>
      </c>
      <c r="B37" s="198" t="s">
        <v>42</v>
      </c>
      <c r="C37" s="199"/>
      <c r="D37" s="178" t="s">
        <v>2</v>
      </c>
      <c r="E37" s="179"/>
      <c r="F37" s="18"/>
      <c r="G37" s="19"/>
    </row>
    <row r="38" spans="1:6" s="16" customFormat="1" ht="24" customHeight="1">
      <c r="A38" s="171" t="s">
        <v>15</v>
      </c>
      <c r="B38" s="171"/>
      <c r="C38" s="22"/>
      <c r="D38" s="23" t="s">
        <v>19</v>
      </c>
      <c r="E38" s="24" t="s">
        <v>107</v>
      </c>
      <c r="F38" s="25"/>
    </row>
  </sheetData>
  <sheetProtection password="CEFD" sheet="1" objects="1" scenarios="1" selectLockedCells="1"/>
  <mergeCells count="28">
    <mergeCell ref="C29:E29"/>
    <mergeCell ref="D37:E37"/>
    <mergeCell ref="D31:E31"/>
    <mergeCell ref="D32:E32"/>
    <mergeCell ref="D33:E33"/>
    <mergeCell ref="D36:E36"/>
    <mergeCell ref="D34:E34"/>
    <mergeCell ref="D35:E35"/>
    <mergeCell ref="A1:E1"/>
    <mergeCell ref="B31:C31"/>
    <mergeCell ref="A30:E30"/>
    <mergeCell ref="A13:E13"/>
    <mergeCell ref="A19:E19"/>
    <mergeCell ref="A26:E26"/>
    <mergeCell ref="A3:C3"/>
    <mergeCell ref="B2:C2"/>
    <mergeCell ref="A29:B29"/>
    <mergeCell ref="C24:E25"/>
    <mergeCell ref="D4:E4"/>
    <mergeCell ref="B4:C4"/>
    <mergeCell ref="A38:B38"/>
    <mergeCell ref="B32:C32"/>
    <mergeCell ref="B33:C33"/>
    <mergeCell ref="B36:C36"/>
    <mergeCell ref="B37:C37"/>
    <mergeCell ref="B34:C34"/>
    <mergeCell ref="B35:C35"/>
    <mergeCell ref="A8:E8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A1:G40"/>
  <sheetViews>
    <sheetView showGridLines="0" zoomScale="75" zoomScaleNormal="75" zoomScalePageLayoutView="0" workbookViewId="0" topLeftCell="A1">
      <selection activeCell="E2" sqref="E2"/>
    </sheetView>
  </sheetViews>
  <sheetFormatPr defaultColWidth="9.00390625" defaultRowHeight="12.75"/>
  <cols>
    <col min="1" max="1" width="32.75390625" style="2" customWidth="1"/>
    <col min="2" max="5" width="14.75390625" style="2" customWidth="1"/>
    <col min="6" max="16384" width="9.125" style="2" customWidth="1"/>
  </cols>
  <sheetData>
    <row r="1" spans="1:5" ht="45" customHeight="1">
      <c r="A1" s="157" t="s">
        <v>111</v>
      </c>
      <c r="B1" s="180"/>
      <c r="C1" s="180"/>
      <c r="D1" s="180"/>
      <c r="E1" s="180"/>
    </row>
    <row r="2" spans="1:5" ht="20.2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18.75" customHeight="1">
      <c r="A3" s="160" t="s">
        <v>109</v>
      </c>
      <c r="B3" s="161"/>
      <c r="C3" s="162"/>
      <c r="D3" s="5" t="s">
        <v>21</v>
      </c>
      <c r="E3" s="9"/>
    </row>
    <row r="4" spans="1:5" ht="20.25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38.2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7" ht="18" customHeight="1">
      <c r="A6" s="29" t="s">
        <v>0</v>
      </c>
      <c r="B6" s="30">
        <f>E2-SUM(B7:B26)</f>
        <v>10.16000000000001</v>
      </c>
      <c r="C6" s="31"/>
      <c r="D6" s="31"/>
      <c r="E6" s="31"/>
      <c r="G6" s="58" t="s">
        <v>94</v>
      </c>
    </row>
    <row r="7" spans="1:7" ht="18" customHeight="1">
      <c r="A7" s="53" t="s">
        <v>93</v>
      </c>
      <c r="B7" s="54">
        <f>E2*0.2</f>
        <v>20</v>
      </c>
      <c r="C7" s="55"/>
      <c r="D7" s="55"/>
      <c r="E7" s="55"/>
      <c r="G7" s="57">
        <v>0.2</v>
      </c>
    </row>
    <row r="8" spans="1:5" ht="18" customHeight="1">
      <c r="A8" s="32" t="str">
        <f>'[2]Сырьё'!$B$13</f>
        <v>Cellosize ER-30M</v>
      </c>
      <c r="B8" s="51">
        <f>E2*0.0023</f>
        <v>0.22999999999999998</v>
      </c>
      <c r="C8" s="34"/>
      <c r="D8" s="34"/>
      <c r="E8" s="34"/>
    </row>
    <row r="9" spans="1:5" ht="17.25" customHeight="1">
      <c r="A9" s="184" t="s">
        <v>87</v>
      </c>
      <c r="B9" s="185"/>
      <c r="C9" s="185"/>
      <c r="D9" s="185"/>
      <c r="E9" s="186"/>
    </row>
    <row r="10" spans="1:5" ht="18" customHeight="1">
      <c r="A10" s="29" t="s">
        <v>30</v>
      </c>
      <c r="B10" s="30">
        <f>E2*0.015</f>
        <v>1.5</v>
      </c>
      <c r="C10" s="31"/>
      <c r="D10" s="31"/>
      <c r="E10" s="31"/>
    </row>
    <row r="11" spans="1:7" ht="18" customHeight="1">
      <c r="A11" s="35" t="str">
        <f>Сырьё!$B$5</f>
        <v>Диспергатор Opotan N4045</v>
      </c>
      <c r="B11" s="36">
        <f>E2*0.003</f>
        <v>0.3</v>
      </c>
      <c r="C11" s="37"/>
      <c r="D11" s="37"/>
      <c r="E11" s="37"/>
      <c r="G11" s="27"/>
    </row>
    <row r="12" spans="1:5" ht="18" customHeight="1">
      <c r="A12" s="35" t="s">
        <v>52</v>
      </c>
      <c r="B12" s="36">
        <f>E2*0.0001</f>
        <v>0.01</v>
      </c>
      <c r="C12" s="37"/>
      <c r="D12" s="37"/>
      <c r="E12" s="37"/>
    </row>
    <row r="13" spans="1:5" ht="18" customHeight="1">
      <c r="A13" s="35" t="s">
        <v>1</v>
      </c>
      <c r="B13" s="36">
        <f>E2*0.03</f>
        <v>3</v>
      </c>
      <c r="C13" s="37"/>
      <c r="D13" s="37"/>
      <c r="E13" s="37"/>
    </row>
    <row r="14" spans="1:5" ht="18" customHeight="1">
      <c r="A14" s="181" t="s">
        <v>86</v>
      </c>
      <c r="B14" s="182"/>
      <c r="C14" s="182"/>
      <c r="D14" s="182"/>
      <c r="E14" s="183"/>
    </row>
    <row r="15" spans="1:5" ht="18" customHeight="1">
      <c r="A15" s="53" t="s">
        <v>83</v>
      </c>
      <c r="B15" s="54">
        <f>E2*0.0005</f>
        <v>0.05</v>
      </c>
      <c r="C15" s="31"/>
      <c r="D15" s="31"/>
      <c r="E15" s="31"/>
    </row>
    <row r="16" spans="1:5" ht="18" customHeight="1">
      <c r="A16" s="61" t="str">
        <f>Сырьё!$B$8</f>
        <v>Lomon  R996</v>
      </c>
      <c r="B16" s="30">
        <f>E2*0.03</f>
        <v>3</v>
      </c>
      <c r="C16" s="31"/>
      <c r="D16" s="31"/>
      <c r="E16" s="31"/>
    </row>
    <row r="17" spans="1:5" ht="18" customHeight="1">
      <c r="A17" s="35" t="s">
        <v>112</v>
      </c>
      <c r="B17" s="36">
        <f>E2*0.4</f>
        <v>40</v>
      </c>
      <c r="C17" s="31"/>
      <c r="D17" s="31"/>
      <c r="E17" s="31"/>
    </row>
    <row r="18" spans="1:5" ht="18" customHeight="1">
      <c r="A18" s="35" t="s">
        <v>106</v>
      </c>
      <c r="B18" s="36">
        <f>E2*0.16</f>
        <v>16</v>
      </c>
      <c r="C18" s="31"/>
      <c r="D18" s="31"/>
      <c r="E18" s="31"/>
    </row>
    <row r="19" spans="1:5" ht="16.5" customHeight="1">
      <c r="A19" s="35" t="s">
        <v>80</v>
      </c>
      <c r="B19" s="36">
        <f>E2*0.005</f>
        <v>0.5</v>
      </c>
      <c r="C19" s="34"/>
      <c r="D19" s="34"/>
      <c r="E19" s="34"/>
    </row>
    <row r="20" spans="1:5" ht="17.25" customHeight="1">
      <c r="A20" s="184" t="s">
        <v>88</v>
      </c>
      <c r="B20" s="185"/>
      <c r="C20" s="185"/>
      <c r="D20" s="185"/>
      <c r="E20" s="186"/>
    </row>
    <row r="21" spans="1:5" ht="16.5" customHeight="1">
      <c r="A21" s="53" t="s">
        <v>83</v>
      </c>
      <c r="B21" s="54">
        <f>E2*0.001</f>
        <v>0.1</v>
      </c>
      <c r="C21" s="55"/>
      <c r="D21" s="55"/>
      <c r="E21" s="55"/>
    </row>
    <row r="22" spans="1:5" ht="18" customHeight="1">
      <c r="A22" s="29" t="str">
        <f>'[2]Сырьё'!$B$3</f>
        <v>DL-450</v>
      </c>
      <c r="B22" s="30">
        <f>E2*((6.3-G7*20)/50)</f>
        <v>4.6</v>
      </c>
      <c r="C22" s="38"/>
      <c r="D22" s="38"/>
      <c r="E22" s="38"/>
    </row>
    <row r="23" spans="1:5" ht="18" customHeight="1">
      <c r="A23" s="35" t="str">
        <f>'[2]Сырьё'!$B$7</f>
        <v>Консервант Acticide FI</v>
      </c>
      <c r="B23" s="36">
        <f>E2*0.002</f>
        <v>0.2</v>
      </c>
      <c r="C23" s="37"/>
      <c r="D23" s="37"/>
      <c r="E23" s="37"/>
    </row>
    <row r="24" spans="1:5" ht="15.75" customHeight="1">
      <c r="A24" s="35" t="s">
        <v>61</v>
      </c>
      <c r="B24" s="36">
        <f>E2*0.0005</f>
        <v>0.05</v>
      </c>
      <c r="C24" s="37"/>
      <c r="D24" s="37"/>
      <c r="E24" s="37"/>
    </row>
    <row r="25" spans="1:5" ht="18" customHeight="1">
      <c r="A25" s="35" t="str">
        <f>'[2]Сырьё'!$B$6</f>
        <v>Пеногаситель Serdas 7015</v>
      </c>
      <c r="B25" s="36">
        <f>E2*0.001</f>
        <v>0.1</v>
      </c>
      <c r="C25" s="37"/>
      <c r="D25" s="37"/>
      <c r="E25" s="37"/>
    </row>
    <row r="26" spans="1:5" ht="16.5" customHeight="1">
      <c r="A26" s="32" t="str">
        <f>'[2]Сырьё'!$B$14</f>
        <v>Загуститель Rheovis 112</v>
      </c>
      <c r="B26" s="33">
        <f>E2*0.002</f>
        <v>0.2</v>
      </c>
      <c r="C26" s="203" t="s">
        <v>85</v>
      </c>
      <c r="D26" s="204"/>
      <c r="E26" s="205"/>
    </row>
    <row r="27" spans="1:5" ht="16.5" customHeight="1">
      <c r="A27" s="32" t="s">
        <v>0</v>
      </c>
      <c r="B27" s="33">
        <f>E2*0.002</f>
        <v>0.2</v>
      </c>
      <c r="C27" s="206"/>
      <c r="D27" s="207"/>
      <c r="E27" s="208"/>
    </row>
    <row r="28" spans="1:5" ht="33" customHeight="1">
      <c r="A28" s="200" t="s">
        <v>53</v>
      </c>
      <c r="B28" s="201"/>
      <c r="C28" s="201"/>
      <c r="D28" s="201"/>
      <c r="E28" s="202"/>
    </row>
    <row r="29" spans="1:5" ht="18" customHeight="1">
      <c r="A29" s="4" t="s">
        <v>11</v>
      </c>
      <c r="B29" s="3">
        <f>SUM(B6:B26)</f>
        <v>99.99999999999999</v>
      </c>
      <c r="C29" s="1"/>
      <c r="D29" s="1"/>
      <c r="E29" s="1"/>
    </row>
    <row r="30" spans="1:5" ht="21.75" customHeight="1">
      <c r="A30" s="12" t="s">
        <v>32</v>
      </c>
      <c r="B30" s="13">
        <f>(B7*G7+B8+B10*0.1+B11*0.4+B12+B18+B19+B22*0.5+(B25+B26)*0.3)*100/E2</f>
        <v>23.4</v>
      </c>
      <c r="C30" s="14"/>
      <c r="D30" s="14"/>
      <c r="E30" s="14"/>
    </row>
    <row r="31" spans="1:5" ht="12" customHeight="1">
      <c r="A31" s="148" t="s">
        <v>45</v>
      </c>
      <c r="B31" s="148"/>
      <c r="C31" s="148" t="s">
        <v>12</v>
      </c>
      <c r="D31" s="148"/>
      <c r="E31" s="148"/>
    </row>
    <row r="32" spans="1:7" s="16" customFormat="1" ht="17.25" customHeight="1">
      <c r="A32" s="163" t="s">
        <v>33</v>
      </c>
      <c r="B32" s="163"/>
      <c r="C32" s="163"/>
      <c r="D32" s="163"/>
      <c r="E32" s="163"/>
      <c r="F32" s="15"/>
      <c r="G32" s="15"/>
    </row>
    <row r="33" spans="1:7" s="16" customFormat="1" ht="36" customHeight="1">
      <c r="A33" s="17" t="s">
        <v>13</v>
      </c>
      <c r="B33" s="159" t="s">
        <v>47</v>
      </c>
      <c r="C33" s="152"/>
      <c r="D33" s="151" t="s">
        <v>14</v>
      </c>
      <c r="E33" s="152"/>
      <c r="F33" s="18"/>
      <c r="G33" s="19"/>
    </row>
    <row r="34" spans="1:7" s="16" customFormat="1" ht="18" customHeight="1">
      <c r="A34" s="20" t="s">
        <v>4</v>
      </c>
      <c r="B34" s="197" t="s">
        <v>34</v>
      </c>
      <c r="C34" s="179"/>
      <c r="D34" s="178" t="s">
        <v>2</v>
      </c>
      <c r="E34" s="179"/>
      <c r="F34" s="18"/>
      <c r="G34" s="19"/>
    </row>
    <row r="35" spans="1:7" s="16" customFormat="1" ht="18" customHeight="1">
      <c r="A35" s="20" t="s">
        <v>35</v>
      </c>
      <c r="B35" s="197" t="s">
        <v>36</v>
      </c>
      <c r="C35" s="179"/>
      <c r="D35" s="178"/>
      <c r="E35" s="179"/>
      <c r="F35" s="18"/>
      <c r="G35" s="19"/>
    </row>
    <row r="36" spans="1:7" s="16" customFormat="1" ht="18" customHeight="1">
      <c r="A36" s="20" t="s">
        <v>16</v>
      </c>
      <c r="B36" s="198" t="s">
        <v>37</v>
      </c>
      <c r="C36" s="199"/>
      <c r="D36" s="178" t="s">
        <v>3</v>
      </c>
      <c r="E36" s="179"/>
      <c r="F36" s="18"/>
      <c r="G36" s="19"/>
    </row>
    <row r="37" spans="1:7" s="16" customFormat="1" ht="30" customHeight="1">
      <c r="A37" s="21" t="s">
        <v>38</v>
      </c>
      <c r="B37" s="198" t="s">
        <v>81</v>
      </c>
      <c r="C37" s="199"/>
      <c r="D37" s="178"/>
      <c r="E37" s="179"/>
      <c r="F37" s="18"/>
      <c r="G37" s="19"/>
    </row>
    <row r="38" spans="1:7" s="16" customFormat="1" ht="18" customHeight="1">
      <c r="A38" s="20" t="s">
        <v>17</v>
      </c>
      <c r="B38" s="198" t="s">
        <v>40</v>
      </c>
      <c r="C38" s="199"/>
      <c r="D38" s="178"/>
      <c r="E38" s="179"/>
      <c r="F38" s="18"/>
      <c r="G38" s="19"/>
    </row>
    <row r="39" spans="1:7" s="16" customFormat="1" ht="27" customHeight="1">
      <c r="A39" s="21" t="s">
        <v>41</v>
      </c>
      <c r="B39" s="198" t="s">
        <v>42</v>
      </c>
      <c r="C39" s="199"/>
      <c r="D39" s="178" t="s">
        <v>2</v>
      </c>
      <c r="E39" s="179"/>
      <c r="F39" s="18"/>
      <c r="G39" s="19"/>
    </row>
    <row r="40" spans="1:6" s="16" customFormat="1" ht="24" customHeight="1">
      <c r="A40" s="171" t="s">
        <v>15</v>
      </c>
      <c r="B40" s="171"/>
      <c r="C40" s="22"/>
      <c r="D40" s="23" t="s">
        <v>19</v>
      </c>
      <c r="E40" s="24" t="s">
        <v>110</v>
      </c>
      <c r="F40" s="25"/>
    </row>
  </sheetData>
  <sheetProtection password="CEFD" sheet="1" objects="1" scenarios="1" selectLockedCells="1"/>
  <mergeCells count="28">
    <mergeCell ref="D4:E4"/>
    <mergeCell ref="D39:E39"/>
    <mergeCell ref="D33:E33"/>
    <mergeCell ref="D34:E34"/>
    <mergeCell ref="D35:E35"/>
    <mergeCell ref="D38:E38"/>
    <mergeCell ref="D36:E36"/>
    <mergeCell ref="D37:E37"/>
    <mergeCell ref="A14:E14"/>
    <mergeCell ref="B4:C4"/>
    <mergeCell ref="A1:E1"/>
    <mergeCell ref="B33:C33"/>
    <mergeCell ref="A32:E32"/>
    <mergeCell ref="A20:E20"/>
    <mergeCell ref="A28:E28"/>
    <mergeCell ref="A3:C3"/>
    <mergeCell ref="B2:C2"/>
    <mergeCell ref="A31:B31"/>
    <mergeCell ref="A9:E9"/>
    <mergeCell ref="C26:E27"/>
    <mergeCell ref="C31:E31"/>
    <mergeCell ref="A40:B40"/>
    <mergeCell ref="B34:C34"/>
    <mergeCell ref="B35:C35"/>
    <mergeCell ref="B38:C38"/>
    <mergeCell ref="B39:C39"/>
    <mergeCell ref="B36:C36"/>
    <mergeCell ref="B37:C37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G38"/>
  <sheetViews>
    <sheetView showGridLines="0" zoomScale="75" zoomScaleNormal="75" zoomScalePageLayoutView="0" workbookViewId="0" topLeftCell="A1">
      <selection activeCell="E2" sqref="E2"/>
    </sheetView>
  </sheetViews>
  <sheetFormatPr defaultColWidth="9.00390625" defaultRowHeight="12.75"/>
  <cols>
    <col min="1" max="1" width="33.875" style="2" customWidth="1"/>
    <col min="2" max="2" width="14.75390625" style="2" customWidth="1"/>
    <col min="3" max="3" width="13.125" style="2" customWidth="1"/>
    <col min="4" max="5" width="14.75390625" style="2" customWidth="1"/>
    <col min="6" max="16384" width="9.125" style="2" customWidth="1"/>
  </cols>
  <sheetData>
    <row r="1" spans="1:5" ht="45" customHeight="1">
      <c r="A1" s="157" t="s">
        <v>104</v>
      </c>
      <c r="B1" s="180"/>
      <c r="C1" s="180"/>
      <c r="D1" s="180"/>
      <c r="E1" s="180"/>
    </row>
    <row r="2" spans="1:5" ht="18.7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18.75" customHeight="1">
      <c r="A3" s="160" t="s">
        <v>29</v>
      </c>
      <c r="B3" s="161"/>
      <c r="C3" s="162"/>
      <c r="D3" s="5" t="s">
        <v>21</v>
      </c>
      <c r="E3" s="9"/>
    </row>
    <row r="4" spans="1:5" ht="18.75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42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5" ht="15.75" customHeight="1">
      <c r="A6" s="29" t="s">
        <v>0</v>
      </c>
      <c r="B6" s="30">
        <f>E2-SUM(B7:B24)</f>
        <v>22.310000000000002</v>
      </c>
      <c r="C6" s="31"/>
      <c r="D6" s="31"/>
      <c r="E6" s="31"/>
    </row>
    <row r="7" spans="1:5" ht="15.75" customHeight="1">
      <c r="A7" s="32" t="str">
        <f>Сырьё!$B$16</f>
        <v>Polycol  WP-20B</v>
      </c>
      <c r="B7" s="51">
        <f>IF(A7="Walocel XM 6000 PV",E2*0.003,IF(A7="Walocel XM 20000 PV",E2*0.0023,E2*0.0023))</f>
        <v>0.22999999999999998</v>
      </c>
      <c r="C7" s="34"/>
      <c r="D7" s="34"/>
      <c r="E7" s="34"/>
    </row>
    <row r="8" spans="1:5" ht="17.25" customHeight="1">
      <c r="A8" s="184" t="s">
        <v>90</v>
      </c>
      <c r="B8" s="185"/>
      <c r="C8" s="185"/>
      <c r="D8" s="185"/>
      <c r="E8" s="186"/>
    </row>
    <row r="9" spans="1:5" ht="15.75" customHeight="1">
      <c r="A9" s="29" t="s">
        <v>30</v>
      </c>
      <c r="B9" s="30">
        <f>E2*0.015</f>
        <v>1.5</v>
      </c>
      <c r="C9" s="31"/>
      <c r="D9" s="31"/>
      <c r="E9" s="31"/>
    </row>
    <row r="10" spans="1:5" ht="15.75" customHeight="1">
      <c r="A10" s="35" t="str">
        <f>Сырьё!$B$5</f>
        <v>Диспергатор Opotan N4045</v>
      </c>
      <c r="B10" s="36">
        <f>E2*0.003</f>
        <v>0.3</v>
      </c>
      <c r="C10" s="37"/>
      <c r="D10" s="37"/>
      <c r="E10" s="37"/>
    </row>
    <row r="11" spans="1:5" ht="15.75" customHeight="1">
      <c r="A11" s="35" t="s">
        <v>52</v>
      </c>
      <c r="B11" s="50">
        <f>E2*0.0001</f>
        <v>0.01</v>
      </c>
      <c r="C11" s="37"/>
      <c r="D11" s="37"/>
      <c r="E11" s="37"/>
    </row>
    <row r="12" spans="1:5" ht="15.75" customHeight="1">
      <c r="A12" s="35" t="s">
        <v>1</v>
      </c>
      <c r="B12" s="36">
        <f>E2*0.03</f>
        <v>3</v>
      </c>
      <c r="C12" s="37"/>
      <c r="D12" s="37"/>
      <c r="E12" s="37"/>
    </row>
    <row r="13" spans="1:5" ht="15.75" customHeight="1">
      <c r="A13" s="181" t="s">
        <v>86</v>
      </c>
      <c r="B13" s="182"/>
      <c r="C13" s="182"/>
      <c r="D13" s="182"/>
      <c r="E13" s="183"/>
    </row>
    <row r="14" spans="1:5" ht="15.75" customHeight="1">
      <c r="A14" s="53" t="s">
        <v>83</v>
      </c>
      <c r="B14" s="54">
        <f>E2*0.0005</f>
        <v>0.05</v>
      </c>
      <c r="C14" s="55"/>
      <c r="D14" s="55"/>
      <c r="E14" s="55"/>
    </row>
    <row r="15" spans="1:5" ht="15.75" customHeight="1">
      <c r="A15" s="29" t="e">
        <f>Сырьё!#REF!</f>
        <v>#REF!</v>
      </c>
      <c r="B15" s="30">
        <f>E2*0.03</f>
        <v>3</v>
      </c>
      <c r="C15" s="31"/>
      <c r="D15" s="31"/>
      <c r="E15" s="31"/>
    </row>
    <row r="16" spans="1:5" ht="15.75" customHeight="1">
      <c r="A16" s="35" t="str">
        <f>Сырьё!B9</f>
        <v>Omyacarb 2-UR</v>
      </c>
      <c r="B16" s="36">
        <f>E2*0.4</f>
        <v>40</v>
      </c>
      <c r="C16" s="37"/>
      <c r="D16" s="37"/>
      <c r="E16" s="37"/>
    </row>
    <row r="17" spans="1:5" ht="15.75" customHeight="1">
      <c r="A17" s="35" t="s">
        <v>106</v>
      </c>
      <c r="B17" s="36">
        <f>E2*0.16</f>
        <v>16</v>
      </c>
      <c r="C17" s="37"/>
      <c r="D17" s="37"/>
      <c r="E17" s="37"/>
    </row>
    <row r="18" spans="1:5" ht="15.75" customHeight="1">
      <c r="A18" s="35" t="str">
        <f>Сырьё!B18</f>
        <v>Nextcoat 795</v>
      </c>
      <c r="B18" s="36">
        <f>E2*0.005</f>
        <v>0.5</v>
      </c>
      <c r="C18" s="37"/>
      <c r="D18" s="37"/>
      <c r="E18" s="37"/>
    </row>
    <row r="19" spans="1:5" ht="17.25" customHeight="1">
      <c r="A19" s="184" t="s">
        <v>89</v>
      </c>
      <c r="B19" s="185"/>
      <c r="C19" s="185"/>
      <c r="D19" s="185"/>
      <c r="E19" s="186"/>
    </row>
    <row r="20" spans="1:5" ht="15.75" customHeight="1">
      <c r="A20" s="29" t="s">
        <v>97</v>
      </c>
      <c r="B20" s="30">
        <f>E2*0.126</f>
        <v>12.6</v>
      </c>
      <c r="C20" s="38"/>
      <c r="D20" s="38"/>
      <c r="E20" s="38"/>
    </row>
    <row r="21" spans="1:5" ht="15.75" customHeight="1">
      <c r="A21" s="35" t="str">
        <f>Сырьё!$B$7</f>
        <v>Консервант Acticide FI</v>
      </c>
      <c r="B21" s="36">
        <f>E2*0.002</f>
        <v>0.2</v>
      </c>
      <c r="C21" s="37"/>
      <c r="D21" s="37"/>
      <c r="E21" s="37"/>
    </row>
    <row r="22" spans="1:5" ht="15.75" customHeight="1">
      <c r="A22" s="35" t="s">
        <v>61</v>
      </c>
      <c r="B22" s="36">
        <f>E2*0.0005</f>
        <v>0.05</v>
      </c>
      <c r="C22" s="37"/>
      <c r="D22" s="37"/>
      <c r="E22" s="37"/>
    </row>
    <row r="23" spans="1:5" ht="15.75" customHeight="1">
      <c r="A23" s="35" t="str">
        <f>Сырьё!$B$6</f>
        <v>Пеногаситель Contrapen PR-194</v>
      </c>
      <c r="B23" s="36">
        <f>E2*0.0015</f>
        <v>0.15</v>
      </c>
      <c r="C23" s="37"/>
      <c r="D23" s="37"/>
      <c r="E23" s="37"/>
    </row>
    <row r="24" spans="1:5" ht="15.75" customHeight="1">
      <c r="A24" s="32" t="str">
        <f>Сырьё!$B$17</f>
        <v>Загуститель Rheovis 112</v>
      </c>
      <c r="B24" s="33">
        <f>E2*0.001</f>
        <v>0.1</v>
      </c>
      <c r="C24" s="190" t="s">
        <v>91</v>
      </c>
      <c r="D24" s="191"/>
      <c r="E24" s="192"/>
    </row>
    <row r="25" spans="1:5" ht="15.75" customHeight="1">
      <c r="A25" s="32" t="s">
        <v>0</v>
      </c>
      <c r="B25" s="33">
        <f>E2*0.001</f>
        <v>0.1</v>
      </c>
      <c r="C25" s="193"/>
      <c r="D25" s="194"/>
      <c r="E25" s="195"/>
    </row>
    <row r="26" spans="1:5" ht="31.5" customHeight="1">
      <c r="A26" s="187" t="s">
        <v>92</v>
      </c>
      <c r="B26" s="188"/>
      <c r="C26" s="188"/>
      <c r="D26" s="188"/>
      <c r="E26" s="189"/>
    </row>
    <row r="27" spans="1:5" ht="15.75" customHeight="1">
      <c r="A27" s="4" t="s">
        <v>11</v>
      </c>
      <c r="B27" s="3">
        <f>SUM(B6:B24)</f>
        <v>100</v>
      </c>
      <c r="C27" s="1"/>
      <c r="D27" s="1"/>
      <c r="E27" s="1"/>
    </row>
    <row r="28" spans="1:5" ht="18" customHeight="1">
      <c r="A28" s="12" t="s">
        <v>32</v>
      </c>
      <c r="B28" s="13">
        <f>(B7+B9*0.1+B10*0.4+B11+B15+B16+B17+B20*0.5+(B14+B23+B24)*0.3)*100/E2</f>
        <v>65.9</v>
      </c>
      <c r="C28" s="14"/>
      <c r="D28" s="14"/>
      <c r="E28" s="14"/>
    </row>
    <row r="29" spans="1:5" ht="21" customHeight="1">
      <c r="A29" s="148" t="s">
        <v>45</v>
      </c>
      <c r="B29" s="148"/>
      <c r="C29" s="148" t="s">
        <v>12</v>
      </c>
      <c r="D29" s="148"/>
      <c r="E29" s="148"/>
    </row>
    <row r="30" spans="1:7" s="16" customFormat="1" ht="18.75" customHeight="1">
      <c r="A30" s="163" t="s">
        <v>33</v>
      </c>
      <c r="B30" s="163"/>
      <c r="C30" s="163"/>
      <c r="D30" s="163"/>
      <c r="E30" s="163"/>
      <c r="F30" s="15"/>
      <c r="G30" s="15"/>
    </row>
    <row r="31" spans="1:7" s="16" customFormat="1" ht="35.25" customHeight="1">
      <c r="A31" s="17" t="s">
        <v>13</v>
      </c>
      <c r="B31" s="159" t="s">
        <v>47</v>
      </c>
      <c r="C31" s="152"/>
      <c r="D31" s="151" t="s">
        <v>14</v>
      </c>
      <c r="E31" s="152"/>
      <c r="F31" s="18"/>
      <c r="G31" s="19"/>
    </row>
    <row r="32" spans="1:7" s="16" customFormat="1" ht="18" customHeight="1">
      <c r="A32" s="20" t="s">
        <v>4</v>
      </c>
      <c r="B32" s="197" t="s">
        <v>34</v>
      </c>
      <c r="C32" s="179"/>
      <c r="D32" s="178" t="s">
        <v>2</v>
      </c>
      <c r="E32" s="179"/>
      <c r="F32" s="18"/>
      <c r="G32" s="19"/>
    </row>
    <row r="33" spans="1:7" s="16" customFormat="1" ht="18" customHeight="1">
      <c r="A33" s="20" t="s">
        <v>35</v>
      </c>
      <c r="B33" s="197" t="s">
        <v>36</v>
      </c>
      <c r="C33" s="179"/>
      <c r="D33" s="178"/>
      <c r="E33" s="179"/>
      <c r="F33" s="18"/>
      <c r="G33" s="19"/>
    </row>
    <row r="34" spans="1:7" s="16" customFormat="1" ht="18" customHeight="1">
      <c r="A34" s="20" t="s">
        <v>16</v>
      </c>
      <c r="B34" s="198" t="s">
        <v>37</v>
      </c>
      <c r="C34" s="199"/>
      <c r="D34" s="178" t="s">
        <v>3</v>
      </c>
      <c r="E34" s="179"/>
      <c r="F34" s="18"/>
      <c r="G34" s="19"/>
    </row>
    <row r="35" spans="1:7" s="16" customFormat="1" ht="30" customHeight="1">
      <c r="A35" s="21" t="s">
        <v>38</v>
      </c>
      <c r="B35" s="198" t="s">
        <v>81</v>
      </c>
      <c r="C35" s="199"/>
      <c r="D35" s="178"/>
      <c r="E35" s="179"/>
      <c r="F35" s="18"/>
      <c r="G35" s="19"/>
    </row>
    <row r="36" spans="1:7" s="16" customFormat="1" ht="18" customHeight="1">
      <c r="A36" s="20" t="s">
        <v>17</v>
      </c>
      <c r="B36" s="198" t="s">
        <v>40</v>
      </c>
      <c r="C36" s="199"/>
      <c r="D36" s="178"/>
      <c r="E36" s="179"/>
      <c r="F36" s="18"/>
      <c r="G36" s="19"/>
    </row>
    <row r="37" spans="1:7" s="16" customFormat="1" ht="30" customHeight="1">
      <c r="A37" s="21" t="s">
        <v>41</v>
      </c>
      <c r="B37" s="198" t="s">
        <v>42</v>
      </c>
      <c r="C37" s="199"/>
      <c r="D37" s="178" t="s">
        <v>2</v>
      </c>
      <c r="E37" s="179"/>
      <c r="F37" s="18"/>
      <c r="G37" s="19"/>
    </row>
    <row r="38" spans="1:6" s="16" customFormat="1" ht="21" customHeight="1">
      <c r="A38" s="171" t="s">
        <v>15</v>
      </c>
      <c r="B38" s="171"/>
      <c r="C38" s="22"/>
      <c r="D38" s="23" t="s">
        <v>19</v>
      </c>
      <c r="E38" s="24" t="s">
        <v>102</v>
      </c>
      <c r="F38" s="25"/>
    </row>
  </sheetData>
  <sheetProtection password="CEFD" sheet="1" objects="1" scenarios="1" selectLockedCells="1"/>
  <mergeCells count="28">
    <mergeCell ref="C29:E29"/>
    <mergeCell ref="D37:E37"/>
    <mergeCell ref="D31:E31"/>
    <mergeCell ref="D32:E32"/>
    <mergeCell ref="D33:E33"/>
    <mergeCell ref="D36:E36"/>
    <mergeCell ref="D34:E34"/>
    <mergeCell ref="D35:E35"/>
    <mergeCell ref="A1:E1"/>
    <mergeCell ref="B31:C31"/>
    <mergeCell ref="A30:E30"/>
    <mergeCell ref="A19:E19"/>
    <mergeCell ref="A26:E26"/>
    <mergeCell ref="A3:C3"/>
    <mergeCell ref="B2:C2"/>
    <mergeCell ref="A29:B29"/>
    <mergeCell ref="A8:E8"/>
    <mergeCell ref="A13:E13"/>
    <mergeCell ref="D4:E4"/>
    <mergeCell ref="B4:C4"/>
    <mergeCell ref="A38:B38"/>
    <mergeCell ref="B32:C32"/>
    <mergeCell ref="B33:C33"/>
    <mergeCell ref="B36:C36"/>
    <mergeCell ref="B37:C37"/>
    <mergeCell ref="B34:C34"/>
    <mergeCell ref="B35:C35"/>
    <mergeCell ref="C24:E25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J37"/>
  <sheetViews>
    <sheetView showGridLines="0" zoomScale="75" zoomScaleNormal="75" zoomScalePageLayoutView="0" workbookViewId="0" topLeftCell="A1">
      <selection activeCell="A19" sqref="A19"/>
    </sheetView>
  </sheetViews>
  <sheetFormatPr defaultColWidth="9.00390625" defaultRowHeight="12.75"/>
  <cols>
    <col min="1" max="1" width="37.125" style="2" customWidth="1"/>
    <col min="2" max="2" width="12.625" style="2" customWidth="1"/>
    <col min="3" max="3" width="12.875" style="2" customWidth="1"/>
    <col min="4" max="4" width="13.375" style="2" customWidth="1"/>
    <col min="5" max="5" width="13.125" style="2" customWidth="1"/>
    <col min="6" max="16384" width="9.125" style="2" customWidth="1"/>
  </cols>
  <sheetData>
    <row r="1" spans="1:5" ht="39.75" customHeight="1">
      <c r="A1" s="157" t="s">
        <v>118</v>
      </c>
      <c r="B1" s="180"/>
      <c r="C1" s="180"/>
      <c r="D1" s="180"/>
      <c r="E1" s="180"/>
    </row>
    <row r="2" spans="1:5" ht="19.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16.5" customHeight="1">
      <c r="A3" s="160" t="s">
        <v>29</v>
      </c>
      <c r="B3" s="161"/>
      <c r="C3" s="162"/>
      <c r="D3" s="5" t="s">
        <v>21</v>
      </c>
      <c r="E3" s="9"/>
    </row>
    <row r="4" spans="1:5" ht="18.75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4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7" ht="16.5" customHeight="1">
      <c r="A6" s="29" t="s">
        <v>0</v>
      </c>
      <c r="B6" s="30">
        <f>E2-SUM(B7:B24)</f>
        <v>36.019999999999996</v>
      </c>
      <c r="C6" s="31"/>
      <c r="D6" s="31"/>
      <c r="E6" s="31"/>
      <c r="G6" s="58" t="s">
        <v>94</v>
      </c>
    </row>
    <row r="7" spans="1:7" ht="16.5" customHeight="1">
      <c r="A7" s="53" t="s">
        <v>93</v>
      </c>
      <c r="B7" s="54">
        <f>E2*0.05</f>
        <v>5</v>
      </c>
      <c r="C7" s="55"/>
      <c r="D7" s="55"/>
      <c r="E7" s="55"/>
      <c r="G7" s="57">
        <v>0.2</v>
      </c>
    </row>
    <row r="8" spans="1:5" ht="16.5" customHeight="1">
      <c r="A8" s="32" t="str">
        <f>Сырьё!$B$15</f>
        <v>Polycol  WP-20B</v>
      </c>
      <c r="B8" s="33">
        <f>E2*0.0042</f>
        <v>0.42</v>
      </c>
      <c r="C8" s="34"/>
      <c r="D8" s="34"/>
      <c r="E8" s="34"/>
    </row>
    <row r="9" spans="1:5" ht="15.75" customHeight="1">
      <c r="A9" s="184" t="s">
        <v>90</v>
      </c>
      <c r="B9" s="185"/>
      <c r="C9" s="185"/>
      <c r="D9" s="185"/>
      <c r="E9" s="186"/>
    </row>
    <row r="10" spans="1:5" ht="16.5" customHeight="1">
      <c r="A10" s="29" t="s">
        <v>30</v>
      </c>
      <c r="B10" s="30">
        <f>E2*0.015</f>
        <v>1.5</v>
      </c>
      <c r="C10" s="31"/>
      <c r="D10" s="31"/>
      <c r="E10" s="31"/>
    </row>
    <row r="11" spans="1:5" ht="16.5" customHeight="1">
      <c r="A11" s="35" t="str">
        <f>Сырьё!$B$5</f>
        <v>Диспергатор Opotan N4045</v>
      </c>
      <c r="B11" s="36">
        <f>E2*0.003</f>
        <v>0.3</v>
      </c>
      <c r="C11" s="37"/>
      <c r="D11" s="37"/>
      <c r="E11" s="37"/>
    </row>
    <row r="12" spans="1:5" ht="16.5" customHeight="1">
      <c r="A12" s="35" t="s">
        <v>52</v>
      </c>
      <c r="B12" s="36">
        <f>E2*0.0001</f>
        <v>0.01</v>
      </c>
      <c r="C12" s="37"/>
      <c r="D12" s="37"/>
      <c r="E12" s="37"/>
    </row>
    <row r="13" spans="1:5" ht="17.25" customHeight="1">
      <c r="A13" s="181" t="s">
        <v>86</v>
      </c>
      <c r="B13" s="182"/>
      <c r="C13" s="182"/>
      <c r="D13" s="182"/>
      <c r="E13" s="183"/>
    </row>
    <row r="14" spans="1:5" ht="16.5" customHeight="1">
      <c r="A14" s="29" t="str">
        <f>Сырьё!$B$8</f>
        <v>Lomon  R996</v>
      </c>
      <c r="B14" s="30">
        <f>E2*0.01</f>
        <v>1</v>
      </c>
      <c r="C14" s="31"/>
      <c r="D14" s="31"/>
      <c r="E14" s="31"/>
    </row>
    <row r="15" spans="1:5" ht="16.5" customHeight="1">
      <c r="A15" s="35" t="str">
        <f>Сырьё!B9</f>
        <v>Omyacarb 2-UR</v>
      </c>
      <c r="B15" s="36">
        <f>E2*0.4</f>
        <v>40</v>
      </c>
      <c r="C15" s="37"/>
      <c r="D15" s="37"/>
      <c r="E15" s="37"/>
    </row>
    <row r="16" spans="1:5" ht="16.5" customHeight="1">
      <c r="A16" s="35" t="s">
        <v>105</v>
      </c>
      <c r="B16" s="33">
        <f>E2*0.15</f>
        <v>15</v>
      </c>
      <c r="C16" s="34"/>
      <c r="D16" s="34"/>
      <c r="E16" s="34"/>
    </row>
    <row r="17" spans="1:5" ht="17.25" customHeight="1">
      <c r="A17" s="184" t="s">
        <v>89</v>
      </c>
      <c r="B17" s="185"/>
      <c r="C17" s="185"/>
      <c r="D17" s="185"/>
      <c r="E17" s="186"/>
    </row>
    <row r="18" spans="1:5" ht="16.5" customHeight="1">
      <c r="A18" s="35" t="str">
        <f>Сырьё!$B$6</f>
        <v>Пеногаситель Contrapen PR-194</v>
      </c>
      <c r="B18" s="36">
        <f>E2*0.0005</f>
        <v>0.05</v>
      </c>
      <c r="C18" s="37"/>
      <c r="D18" s="37"/>
      <c r="E18" s="37"/>
    </row>
    <row r="19" spans="1:5" ht="16.5" customHeight="1">
      <c r="A19" s="26" t="s">
        <v>73</v>
      </c>
      <c r="B19" s="30">
        <f>E2*((1-5*G7)/50)</f>
        <v>0</v>
      </c>
      <c r="C19" s="38"/>
      <c r="D19" s="38"/>
      <c r="E19" s="38"/>
    </row>
    <row r="20" spans="1:5" ht="16.5" customHeight="1">
      <c r="A20" s="35" t="str">
        <f>Сырьё!$B$7</f>
        <v>Консервант Acticide FI</v>
      </c>
      <c r="B20" s="36">
        <f>E2*0.002</f>
        <v>0.2</v>
      </c>
      <c r="C20" s="37"/>
      <c r="D20" s="37"/>
      <c r="E20" s="37"/>
    </row>
    <row r="21" spans="1:5" ht="15.75" customHeight="1">
      <c r="A21" s="35" t="s">
        <v>61</v>
      </c>
      <c r="B21" s="36">
        <f>E2*0.0005</f>
        <v>0.05</v>
      </c>
      <c r="C21" s="37"/>
      <c r="D21" s="37"/>
      <c r="E21" s="37"/>
    </row>
    <row r="22" spans="1:5" ht="16.5" customHeight="1">
      <c r="A22" s="32" t="str">
        <f>Сырьё!$B$6</f>
        <v>Пеногаситель Contrapen PR-194</v>
      </c>
      <c r="B22" s="33">
        <f>E2*0.0005</f>
        <v>0.05</v>
      </c>
      <c r="C22" s="34"/>
      <c r="D22" s="34"/>
      <c r="E22" s="34"/>
    </row>
    <row r="23" spans="1:5" ht="16.5" customHeight="1">
      <c r="A23" s="32" t="str">
        <f>Сырьё!$B$17</f>
        <v>Загуститель Rheovis 112</v>
      </c>
      <c r="B23" s="33">
        <f>E2*0.002</f>
        <v>0.2</v>
      </c>
      <c r="C23" s="190" t="s">
        <v>91</v>
      </c>
      <c r="D23" s="191"/>
      <c r="E23" s="192"/>
    </row>
    <row r="24" spans="1:5" ht="16.5" customHeight="1">
      <c r="A24" s="32" t="s">
        <v>0</v>
      </c>
      <c r="B24" s="33">
        <f>E2*0.002</f>
        <v>0.2</v>
      </c>
      <c r="C24" s="193"/>
      <c r="D24" s="194"/>
      <c r="E24" s="195"/>
    </row>
    <row r="25" spans="1:5" ht="33" customHeight="1">
      <c r="A25" s="187" t="s">
        <v>92</v>
      </c>
      <c r="B25" s="188"/>
      <c r="C25" s="188"/>
      <c r="D25" s="188"/>
      <c r="E25" s="189"/>
    </row>
    <row r="26" spans="1:5" ht="14.25" customHeight="1">
      <c r="A26" s="4" t="s">
        <v>11</v>
      </c>
      <c r="B26" s="3">
        <f>SUM(B6:B24)</f>
        <v>100</v>
      </c>
      <c r="C26" s="1"/>
      <c r="D26" s="1"/>
      <c r="E26" s="1"/>
    </row>
    <row r="27" spans="1:5" ht="10.5" customHeight="1">
      <c r="A27" s="12" t="s">
        <v>32</v>
      </c>
      <c r="B27" s="13">
        <f>(B7*G7+B8+B10*0.1+B11*0.4+B12+B19*0.5+B14+B15+B16+(B18+B20+B22+B23)*0.3)*100/E2</f>
        <v>57.85</v>
      </c>
      <c r="C27" s="14"/>
      <c r="D27" s="14"/>
      <c r="E27" s="14"/>
    </row>
    <row r="28" spans="1:5" ht="17.25" customHeight="1">
      <c r="A28" s="148" t="s">
        <v>45</v>
      </c>
      <c r="B28" s="148"/>
      <c r="C28" s="148" t="s">
        <v>12</v>
      </c>
      <c r="D28" s="148"/>
      <c r="E28" s="148"/>
    </row>
    <row r="29" spans="1:10" s="16" customFormat="1" ht="15" customHeight="1">
      <c r="A29" s="163" t="s">
        <v>33</v>
      </c>
      <c r="B29" s="163"/>
      <c r="C29" s="163"/>
      <c r="D29" s="163"/>
      <c r="E29" s="163"/>
      <c r="F29" s="15"/>
      <c r="G29" s="15"/>
      <c r="H29" s="15"/>
      <c r="I29" s="15"/>
      <c r="J29" s="15"/>
    </row>
    <row r="30" spans="1:10" s="16" customFormat="1" ht="47.25" customHeight="1">
      <c r="A30" s="17" t="s">
        <v>13</v>
      </c>
      <c r="B30" s="159" t="s">
        <v>47</v>
      </c>
      <c r="C30" s="152"/>
      <c r="D30" s="151" t="s">
        <v>14</v>
      </c>
      <c r="E30" s="152"/>
      <c r="F30" s="18"/>
      <c r="G30" s="19"/>
      <c r="H30" s="19"/>
      <c r="I30" s="19"/>
      <c r="J30" s="19"/>
    </row>
    <row r="31" spans="1:10" s="16" customFormat="1" ht="26.25" customHeight="1">
      <c r="A31" s="20" t="s">
        <v>4</v>
      </c>
      <c r="B31" s="197" t="s">
        <v>34</v>
      </c>
      <c r="C31" s="179"/>
      <c r="D31" s="178" t="s">
        <v>2</v>
      </c>
      <c r="E31" s="179"/>
      <c r="F31" s="18"/>
      <c r="G31" s="19"/>
      <c r="H31" s="19"/>
      <c r="I31" s="19"/>
      <c r="J31" s="19"/>
    </row>
    <row r="32" spans="1:10" s="16" customFormat="1" ht="18" customHeight="1">
      <c r="A32" s="20" t="s">
        <v>35</v>
      </c>
      <c r="B32" s="197" t="s">
        <v>36</v>
      </c>
      <c r="C32" s="179"/>
      <c r="D32" s="178"/>
      <c r="E32" s="179"/>
      <c r="F32" s="18"/>
      <c r="G32" s="19"/>
      <c r="H32" s="19"/>
      <c r="I32" s="19"/>
      <c r="J32" s="19"/>
    </row>
    <row r="33" spans="1:10" s="16" customFormat="1" ht="18" customHeight="1">
      <c r="A33" s="20" t="s">
        <v>16</v>
      </c>
      <c r="B33" s="198" t="s">
        <v>37</v>
      </c>
      <c r="C33" s="199"/>
      <c r="D33" s="178" t="s">
        <v>3</v>
      </c>
      <c r="E33" s="179"/>
      <c r="F33" s="18"/>
      <c r="G33" s="19"/>
      <c r="H33" s="19"/>
      <c r="I33" s="19"/>
      <c r="J33" s="19"/>
    </row>
    <row r="34" spans="1:10" s="16" customFormat="1" ht="30" customHeight="1">
      <c r="A34" s="21" t="s">
        <v>38</v>
      </c>
      <c r="B34" s="198" t="s">
        <v>81</v>
      </c>
      <c r="C34" s="199"/>
      <c r="D34" s="178"/>
      <c r="E34" s="179"/>
      <c r="F34" s="18"/>
      <c r="G34" s="19"/>
      <c r="H34" s="19"/>
      <c r="I34" s="19"/>
      <c r="J34" s="19"/>
    </row>
    <row r="35" spans="1:10" s="16" customFormat="1" ht="18" customHeight="1">
      <c r="A35" s="20" t="s">
        <v>17</v>
      </c>
      <c r="B35" s="198" t="s">
        <v>40</v>
      </c>
      <c r="C35" s="199"/>
      <c r="D35" s="178"/>
      <c r="E35" s="179"/>
      <c r="F35" s="18"/>
      <c r="G35" s="19"/>
      <c r="H35" s="19"/>
      <c r="I35" s="19"/>
      <c r="J35" s="19"/>
    </row>
    <row r="36" spans="1:10" s="16" customFormat="1" ht="30" customHeight="1">
      <c r="A36" s="21" t="s">
        <v>41</v>
      </c>
      <c r="B36" s="198" t="s">
        <v>42</v>
      </c>
      <c r="C36" s="199"/>
      <c r="D36" s="178" t="s">
        <v>2</v>
      </c>
      <c r="E36" s="179"/>
      <c r="F36" s="18"/>
      <c r="G36" s="19"/>
      <c r="H36" s="19"/>
      <c r="I36" s="19"/>
      <c r="J36" s="19"/>
    </row>
    <row r="37" spans="1:6" s="16" customFormat="1" ht="24" customHeight="1">
      <c r="A37" s="171" t="s">
        <v>15</v>
      </c>
      <c r="B37" s="171"/>
      <c r="C37" s="22"/>
      <c r="D37" s="23" t="s">
        <v>19</v>
      </c>
      <c r="E37" s="24" t="s">
        <v>107</v>
      </c>
      <c r="F37" s="25"/>
    </row>
  </sheetData>
  <sheetProtection password="CEFD" sheet="1" objects="1" scenarios="1" selectLockedCells="1"/>
  <mergeCells count="28">
    <mergeCell ref="D4:E4"/>
    <mergeCell ref="B4:C4"/>
    <mergeCell ref="A37:B37"/>
    <mergeCell ref="B31:C31"/>
    <mergeCell ref="B32:C32"/>
    <mergeCell ref="B35:C35"/>
    <mergeCell ref="B36:C36"/>
    <mergeCell ref="B33:C33"/>
    <mergeCell ref="B34:C34"/>
    <mergeCell ref="A9:E9"/>
    <mergeCell ref="A1:E1"/>
    <mergeCell ref="B30:C30"/>
    <mergeCell ref="A29:E29"/>
    <mergeCell ref="A13:E13"/>
    <mergeCell ref="A17:E17"/>
    <mergeCell ref="A25:E25"/>
    <mergeCell ref="A3:C3"/>
    <mergeCell ref="B2:C2"/>
    <mergeCell ref="A28:B28"/>
    <mergeCell ref="C23:E24"/>
    <mergeCell ref="C28:E28"/>
    <mergeCell ref="D36:E36"/>
    <mergeCell ref="D30:E30"/>
    <mergeCell ref="D31:E31"/>
    <mergeCell ref="D32:E32"/>
    <mergeCell ref="D35:E35"/>
    <mergeCell ref="D33:E33"/>
    <mergeCell ref="D34:E34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J36"/>
  <sheetViews>
    <sheetView showGridLines="0" zoomScale="75" zoomScaleNormal="75" zoomScalePageLayoutView="0" workbookViewId="0" topLeftCell="A1">
      <selection activeCell="E3" sqref="E3"/>
    </sheetView>
  </sheetViews>
  <sheetFormatPr defaultColWidth="9.00390625" defaultRowHeight="12.75"/>
  <cols>
    <col min="1" max="1" width="37.00390625" style="2" customWidth="1"/>
    <col min="2" max="2" width="12.875" style="2" customWidth="1"/>
    <col min="3" max="3" width="13.875" style="2" customWidth="1"/>
    <col min="4" max="4" width="13.625" style="2" customWidth="1"/>
    <col min="5" max="5" width="14.75390625" style="2" customWidth="1"/>
    <col min="6" max="16384" width="9.125" style="2" customWidth="1"/>
  </cols>
  <sheetData>
    <row r="1" spans="1:5" ht="39.75" customHeight="1">
      <c r="A1" s="157" t="s">
        <v>113</v>
      </c>
      <c r="B1" s="180"/>
      <c r="C1" s="180"/>
      <c r="D1" s="180"/>
      <c r="E1" s="180"/>
    </row>
    <row r="2" spans="1:5" ht="19.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2000</v>
      </c>
    </row>
    <row r="3" spans="1:5" ht="16.5" customHeight="1">
      <c r="A3" s="160" t="s">
        <v>29</v>
      </c>
      <c r="B3" s="161"/>
      <c r="C3" s="162"/>
      <c r="D3" s="5" t="s">
        <v>21</v>
      </c>
      <c r="E3" s="9"/>
    </row>
    <row r="4" spans="1:5" ht="18.75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4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5" ht="16.5" customHeight="1">
      <c r="A6" s="29" t="s">
        <v>0</v>
      </c>
      <c r="B6" s="30">
        <f>E2-SUM(B7:B23)</f>
        <v>780.4000000000001</v>
      </c>
      <c r="C6" s="31"/>
      <c r="D6" s="31"/>
      <c r="E6" s="31"/>
    </row>
    <row r="7" spans="1:5" ht="16.5" customHeight="1">
      <c r="A7" s="32" t="str">
        <f>Сырьё!$B$15</f>
        <v>Polycol  WP-20B</v>
      </c>
      <c r="B7" s="33">
        <f>E2*0.0042</f>
        <v>8.4</v>
      </c>
      <c r="C7" s="34"/>
      <c r="D7" s="34"/>
      <c r="E7" s="34"/>
    </row>
    <row r="8" spans="1:5" ht="15.75" customHeight="1">
      <c r="A8" s="184" t="s">
        <v>90</v>
      </c>
      <c r="B8" s="185"/>
      <c r="C8" s="185"/>
      <c r="D8" s="185"/>
      <c r="E8" s="186"/>
    </row>
    <row r="9" spans="1:5" ht="16.5" customHeight="1">
      <c r="A9" s="29" t="s">
        <v>30</v>
      </c>
      <c r="B9" s="30">
        <f>E2*0.015</f>
        <v>30</v>
      </c>
      <c r="C9" s="31"/>
      <c r="D9" s="31"/>
      <c r="E9" s="31"/>
    </row>
    <row r="10" spans="1:5" ht="16.5" customHeight="1">
      <c r="A10" s="35" t="str">
        <f>Сырьё!$B$5</f>
        <v>Диспергатор Opotan N4045</v>
      </c>
      <c r="B10" s="36">
        <f>E2*0.003</f>
        <v>6</v>
      </c>
      <c r="C10" s="37"/>
      <c r="D10" s="37"/>
      <c r="E10" s="37"/>
    </row>
    <row r="11" spans="1:5" ht="16.5" customHeight="1">
      <c r="A11" s="35" t="s">
        <v>52</v>
      </c>
      <c r="B11" s="36">
        <f>E2*0.0001</f>
        <v>0.2</v>
      </c>
      <c r="C11" s="37"/>
      <c r="D11" s="37"/>
      <c r="E11" s="37"/>
    </row>
    <row r="12" spans="1:5" ht="17.25" customHeight="1">
      <c r="A12" s="181" t="s">
        <v>86</v>
      </c>
      <c r="B12" s="182"/>
      <c r="C12" s="182"/>
      <c r="D12" s="182"/>
      <c r="E12" s="183"/>
    </row>
    <row r="13" spans="1:5" ht="16.5" customHeight="1">
      <c r="A13" s="29" t="str">
        <f>Сырьё!$B$8</f>
        <v>Lomon  R996</v>
      </c>
      <c r="B13" s="30">
        <f>E2*0.01</f>
        <v>20</v>
      </c>
      <c r="C13" s="31"/>
      <c r="D13" s="31"/>
      <c r="E13" s="31"/>
    </row>
    <row r="14" spans="1:5" ht="16.5" customHeight="1">
      <c r="A14" s="35" t="str">
        <f>Сырьё!B9</f>
        <v>Omyacarb 2-UR</v>
      </c>
      <c r="B14" s="36">
        <f>E2*0.4</f>
        <v>800</v>
      </c>
      <c r="C14" s="37"/>
      <c r="D14" s="37"/>
      <c r="E14" s="37"/>
    </row>
    <row r="15" spans="1:5" ht="16.5" customHeight="1">
      <c r="A15" s="35" t="s">
        <v>105</v>
      </c>
      <c r="B15" s="33">
        <f>E2*0.15</f>
        <v>300</v>
      </c>
      <c r="C15" s="34"/>
      <c r="D15" s="34"/>
      <c r="E15" s="34"/>
    </row>
    <row r="16" spans="1:5" ht="17.25" customHeight="1">
      <c r="A16" s="184" t="s">
        <v>89</v>
      </c>
      <c r="B16" s="185"/>
      <c r="C16" s="185"/>
      <c r="D16" s="185"/>
      <c r="E16" s="186"/>
    </row>
    <row r="17" spans="1:5" ht="16.5" customHeight="1">
      <c r="A17" s="35" t="str">
        <f>Сырьё!$B$6</f>
        <v>Пеногаситель Contrapen PR-194</v>
      </c>
      <c r="B17" s="36">
        <f>E2*0.0005</f>
        <v>1</v>
      </c>
      <c r="C17" s="37"/>
      <c r="D17" s="37"/>
      <c r="E17" s="37"/>
    </row>
    <row r="18" spans="1:5" ht="16.5" customHeight="1">
      <c r="A18" s="26" t="s">
        <v>73</v>
      </c>
      <c r="B18" s="30">
        <f>E2*0.02</f>
        <v>40</v>
      </c>
      <c r="C18" s="38"/>
      <c r="D18" s="38"/>
      <c r="E18" s="38"/>
    </row>
    <row r="19" spans="1:5" s="56" customFormat="1" ht="16.5" customHeight="1">
      <c r="A19" s="35" t="str">
        <f>Сырьё!$B$7</f>
        <v>Консервант Acticide FI</v>
      </c>
      <c r="B19" s="36">
        <f>E2*0.002</f>
        <v>4</v>
      </c>
      <c r="C19" s="37"/>
      <c r="D19" s="37"/>
      <c r="E19" s="37"/>
    </row>
    <row r="20" spans="1:5" ht="15.75" customHeight="1">
      <c r="A20" s="35" t="s">
        <v>61</v>
      </c>
      <c r="B20" s="36">
        <f>E2*0.0005</f>
        <v>1</v>
      </c>
      <c r="C20" s="37"/>
      <c r="D20" s="37"/>
      <c r="E20" s="37"/>
    </row>
    <row r="21" spans="1:5" ht="16.5" customHeight="1">
      <c r="A21" s="32" t="str">
        <f>Сырьё!$B$6</f>
        <v>Пеногаситель Contrapen PR-194</v>
      </c>
      <c r="B21" s="33">
        <f>E2*0.0005</f>
        <v>1</v>
      </c>
      <c r="C21" s="34"/>
      <c r="D21" s="34"/>
      <c r="E21" s="34"/>
    </row>
    <row r="22" spans="1:5" ht="16.5" customHeight="1">
      <c r="A22" s="32" t="str">
        <f>Сырьё!$B$17</f>
        <v>Загуститель Rheovis 112</v>
      </c>
      <c r="B22" s="33">
        <f>E2*0.002</f>
        <v>4</v>
      </c>
      <c r="C22" s="190" t="s">
        <v>91</v>
      </c>
      <c r="D22" s="191"/>
      <c r="E22" s="192"/>
    </row>
    <row r="23" spans="1:5" ht="16.5" customHeight="1">
      <c r="A23" s="32" t="s">
        <v>0</v>
      </c>
      <c r="B23" s="33">
        <f>E2*0.002</f>
        <v>4</v>
      </c>
      <c r="C23" s="193"/>
      <c r="D23" s="194"/>
      <c r="E23" s="195"/>
    </row>
    <row r="24" spans="1:5" ht="33" customHeight="1">
      <c r="A24" s="187" t="s">
        <v>92</v>
      </c>
      <c r="B24" s="188"/>
      <c r="C24" s="188"/>
      <c r="D24" s="188"/>
      <c r="E24" s="189"/>
    </row>
    <row r="25" spans="1:5" ht="14.25" customHeight="1">
      <c r="A25" s="4" t="s">
        <v>11</v>
      </c>
      <c r="B25" s="3">
        <f>SUM(B6:B23)</f>
        <v>2000</v>
      </c>
      <c r="C25" s="1"/>
      <c r="D25" s="1"/>
      <c r="E25" s="1"/>
    </row>
    <row r="26" spans="1:5" ht="10.5" customHeight="1">
      <c r="A26" s="12" t="s">
        <v>32</v>
      </c>
      <c r="B26" s="13">
        <f>(B7+B9*0.1+B10*0.4+B11+B18*0.5+B13+B14+B15+(B19+B21+B22)*0.3)*100/E2</f>
        <v>57.835</v>
      </c>
      <c r="C26" s="14"/>
      <c r="D26" s="14"/>
      <c r="E26" s="14"/>
    </row>
    <row r="27" spans="1:5" ht="17.25" customHeight="1">
      <c r="A27" s="148" t="s">
        <v>45</v>
      </c>
      <c r="B27" s="148"/>
      <c r="C27" s="148" t="s">
        <v>12</v>
      </c>
      <c r="D27" s="148"/>
      <c r="E27" s="148"/>
    </row>
    <row r="28" spans="1:10" s="16" customFormat="1" ht="15" customHeight="1">
      <c r="A28" s="163" t="s">
        <v>33</v>
      </c>
      <c r="B28" s="163"/>
      <c r="C28" s="163"/>
      <c r="D28" s="163"/>
      <c r="E28" s="163"/>
      <c r="F28" s="15"/>
      <c r="G28" s="15"/>
      <c r="H28" s="15"/>
      <c r="I28" s="15"/>
      <c r="J28" s="15"/>
    </row>
    <row r="29" spans="1:10" s="16" customFormat="1" ht="39" customHeight="1">
      <c r="A29" s="17" t="s">
        <v>13</v>
      </c>
      <c r="B29" s="159" t="s">
        <v>47</v>
      </c>
      <c r="C29" s="152"/>
      <c r="D29" s="151" t="s">
        <v>14</v>
      </c>
      <c r="E29" s="152"/>
      <c r="F29" s="18"/>
      <c r="G29" s="19"/>
      <c r="H29" s="19"/>
      <c r="I29" s="19"/>
      <c r="J29" s="19"/>
    </row>
    <row r="30" spans="1:10" s="16" customFormat="1" ht="18" customHeight="1">
      <c r="A30" s="20" t="s">
        <v>4</v>
      </c>
      <c r="B30" s="197" t="s">
        <v>34</v>
      </c>
      <c r="C30" s="179"/>
      <c r="D30" s="178" t="s">
        <v>2</v>
      </c>
      <c r="E30" s="179"/>
      <c r="F30" s="18"/>
      <c r="G30" s="19"/>
      <c r="H30" s="19"/>
      <c r="I30" s="19"/>
      <c r="J30" s="19"/>
    </row>
    <row r="31" spans="1:10" s="16" customFormat="1" ht="18" customHeight="1">
      <c r="A31" s="20" t="s">
        <v>35</v>
      </c>
      <c r="B31" s="197" t="s">
        <v>36</v>
      </c>
      <c r="C31" s="179"/>
      <c r="D31" s="178"/>
      <c r="E31" s="179"/>
      <c r="F31" s="18"/>
      <c r="G31" s="19"/>
      <c r="H31" s="19"/>
      <c r="I31" s="19"/>
      <c r="J31" s="19"/>
    </row>
    <row r="32" spans="1:10" s="16" customFormat="1" ht="18" customHeight="1">
      <c r="A32" s="20" t="s">
        <v>16</v>
      </c>
      <c r="B32" s="198" t="s">
        <v>37</v>
      </c>
      <c r="C32" s="199"/>
      <c r="D32" s="178" t="s">
        <v>3</v>
      </c>
      <c r="E32" s="179"/>
      <c r="F32" s="18"/>
      <c r="G32" s="19"/>
      <c r="H32" s="19"/>
      <c r="I32" s="19"/>
      <c r="J32" s="19"/>
    </row>
    <row r="33" spans="1:10" s="16" customFormat="1" ht="30" customHeight="1">
      <c r="A33" s="21" t="s">
        <v>38</v>
      </c>
      <c r="B33" s="198" t="s">
        <v>81</v>
      </c>
      <c r="C33" s="199"/>
      <c r="D33" s="178"/>
      <c r="E33" s="179"/>
      <c r="F33" s="18"/>
      <c r="G33" s="19"/>
      <c r="H33" s="19"/>
      <c r="I33" s="19"/>
      <c r="J33" s="19"/>
    </row>
    <row r="34" spans="1:10" s="16" customFormat="1" ht="18" customHeight="1">
      <c r="A34" s="20" t="s">
        <v>17</v>
      </c>
      <c r="B34" s="198" t="s">
        <v>40</v>
      </c>
      <c r="C34" s="199"/>
      <c r="D34" s="178"/>
      <c r="E34" s="179"/>
      <c r="F34" s="18"/>
      <c r="G34" s="19"/>
      <c r="H34" s="19"/>
      <c r="I34" s="19"/>
      <c r="J34" s="19"/>
    </row>
    <row r="35" spans="1:10" s="16" customFormat="1" ht="30" customHeight="1">
      <c r="A35" s="21" t="s">
        <v>41</v>
      </c>
      <c r="B35" s="198" t="s">
        <v>42</v>
      </c>
      <c r="C35" s="199"/>
      <c r="D35" s="178" t="s">
        <v>2</v>
      </c>
      <c r="E35" s="179"/>
      <c r="F35" s="18"/>
      <c r="G35" s="19"/>
      <c r="H35" s="19"/>
      <c r="I35" s="19"/>
      <c r="J35" s="19"/>
    </row>
    <row r="36" spans="1:6" s="16" customFormat="1" ht="24" customHeight="1">
      <c r="A36" s="171" t="s">
        <v>15</v>
      </c>
      <c r="B36" s="171"/>
      <c r="C36" s="22"/>
      <c r="D36" s="23" t="s">
        <v>19</v>
      </c>
      <c r="E36" s="24" t="s">
        <v>114</v>
      </c>
      <c r="F36" s="25"/>
    </row>
  </sheetData>
  <sheetProtection password="CEFD" sheet="1" objects="1" scenarios="1" selectLockedCells="1"/>
  <mergeCells count="28">
    <mergeCell ref="C27:E27"/>
    <mergeCell ref="D35:E35"/>
    <mergeCell ref="D29:E29"/>
    <mergeCell ref="D30:E30"/>
    <mergeCell ref="D31:E31"/>
    <mergeCell ref="D34:E34"/>
    <mergeCell ref="D32:E32"/>
    <mergeCell ref="D33:E33"/>
    <mergeCell ref="A1:E1"/>
    <mergeCell ref="B29:C29"/>
    <mergeCell ref="A28:E28"/>
    <mergeCell ref="A12:E12"/>
    <mergeCell ref="A16:E16"/>
    <mergeCell ref="A24:E24"/>
    <mergeCell ref="A3:C3"/>
    <mergeCell ref="B2:C2"/>
    <mergeCell ref="A27:B27"/>
    <mergeCell ref="C22:E23"/>
    <mergeCell ref="D4:E4"/>
    <mergeCell ref="B4:C4"/>
    <mergeCell ref="A36:B36"/>
    <mergeCell ref="B30:C30"/>
    <mergeCell ref="B31:C31"/>
    <mergeCell ref="B34:C34"/>
    <mergeCell ref="B35:C35"/>
    <mergeCell ref="B32:C32"/>
    <mergeCell ref="B33:C33"/>
    <mergeCell ref="A8:E8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J36"/>
  <sheetViews>
    <sheetView showGridLines="0" zoomScale="75" zoomScaleNormal="75" zoomScalePageLayoutView="0" workbookViewId="0" topLeftCell="A1">
      <selection activeCell="A18" sqref="A18"/>
    </sheetView>
  </sheetViews>
  <sheetFormatPr defaultColWidth="9.00390625" defaultRowHeight="12.75"/>
  <cols>
    <col min="1" max="1" width="37.375" style="2" customWidth="1"/>
    <col min="2" max="2" width="11.375" style="2" customWidth="1"/>
    <col min="3" max="3" width="13.375" style="2" customWidth="1"/>
    <col min="4" max="5" width="14.75390625" style="2" customWidth="1"/>
    <col min="6" max="16384" width="9.125" style="2" customWidth="1"/>
  </cols>
  <sheetData>
    <row r="1" spans="1:5" ht="36" customHeight="1">
      <c r="A1" s="157" t="s">
        <v>119</v>
      </c>
      <c r="B1" s="180"/>
      <c r="C1" s="180"/>
      <c r="D1" s="180"/>
      <c r="E1" s="180"/>
    </row>
    <row r="2" spans="1:5" ht="18.7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24" customHeight="1">
      <c r="A3" s="160" t="s">
        <v>29</v>
      </c>
      <c r="B3" s="161"/>
      <c r="C3" s="162"/>
      <c r="D3" s="5" t="s">
        <v>21</v>
      </c>
      <c r="E3" s="9"/>
    </row>
    <row r="4" spans="1:5" ht="24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44.2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7" ht="16.5" customHeight="1">
      <c r="A6" s="29" t="s">
        <v>0</v>
      </c>
      <c r="B6" s="30">
        <f>E2-SUM(B7:B23)</f>
        <v>30.539999999999992</v>
      </c>
      <c r="C6" s="31"/>
      <c r="D6" s="31"/>
      <c r="E6" s="31"/>
      <c r="G6" s="58" t="s">
        <v>94</v>
      </c>
    </row>
    <row r="7" spans="1:7" ht="16.5" customHeight="1">
      <c r="A7" s="53" t="s">
        <v>93</v>
      </c>
      <c r="B7" s="54">
        <f>E2*0.1</f>
        <v>10</v>
      </c>
      <c r="C7" s="55"/>
      <c r="D7" s="55"/>
      <c r="E7" s="55"/>
      <c r="G7" s="57">
        <v>0.2</v>
      </c>
    </row>
    <row r="8" spans="1:5" ht="16.5" customHeight="1">
      <c r="A8" s="32" t="str">
        <f>Сырьё!$B$15</f>
        <v>Polycol  WP-20B</v>
      </c>
      <c r="B8" s="33">
        <f>IF(A8="Walocel XM 6000 PV",E2*0.0046,IF(A8="Walocel XM 20000 PV",E2*0.0036,E2*0.004))</f>
        <v>0.4</v>
      </c>
      <c r="C8" s="34"/>
      <c r="D8" s="34"/>
      <c r="E8" s="34"/>
    </row>
    <row r="9" spans="1:5" ht="15.75" customHeight="1">
      <c r="A9" s="184" t="s">
        <v>90</v>
      </c>
      <c r="B9" s="185"/>
      <c r="C9" s="185"/>
      <c r="D9" s="185"/>
      <c r="E9" s="186"/>
    </row>
    <row r="10" spans="1:5" ht="16.5" customHeight="1">
      <c r="A10" s="29" t="s">
        <v>30</v>
      </c>
      <c r="B10" s="30">
        <f>E2*0.015</f>
        <v>1.5</v>
      </c>
      <c r="C10" s="31"/>
      <c r="D10" s="31"/>
      <c r="E10" s="31"/>
    </row>
    <row r="11" spans="1:5" ht="16.5" customHeight="1">
      <c r="A11" s="35" t="str">
        <f>Сырьё!$B$5</f>
        <v>Диспергатор Opotan N4045</v>
      </c>
      <c r="B11" s="36">
        <f>E2*0.003</f>
        <v>0.3</v>
      </c>
      <c r="C11" s="37"/>
      <c r="D11" s="37"/>
      <c r="E11" s="37"/>
    </row>
    <row r="12" spans="1:5" ht="16.5" customHeight="1">
      <c r="A12" s="35" t="s">
        <v>52</v>
      </c>
      <c r="B12" s="36">
        <f>E2*0.0001</f>
        <v>0.01</v>
      </c>
      <c r="C12" s="37"/>
      <c r="D12" s="37"/>
      <c r="E12" s="37"/>
    </row>
    <row r="13" spans="1:5" ht="21" customHeight="1">
      <c r="A13" s="181" t="s">
        <v>86</v>
      </c>
      <c r="B13" s="182"/>
      <c r="C13" s="182"/>
      <c r="D13" s="182"/>
      <c r="E13" s="183"/>
    </row>
    <row r="14" spans="1:5" ht="16.5" customHeight="1">
      <c r="A14" s="29" t="str">
        <f>Сырьё!$B$8</f>
        <v>Lomon  R996</v>
      </c>
      <c r="B14" s="30">
        <f>E2*0.015</f>
        <v>1.5</v>
      </c>
      <c r="C14" s="31"/>
      <c r="D14" s="31"/>
      <c r="E14" s="31"/>
    </row>
    <row r="15" spans="1:5" ht="16.5" customHeight="1">
      <c r="A15" s="35" t="str">
        <f>Сырьё!$B$9</f>
        <v>Omyacarb 2-UR</v>
      </c>
      <c r="B15" s="36">
        <f>E2*0.4</f>
        <v>40</v>
      </c>
      <c r="C15" s="37"/>
      <c r="D15" s="37"/>
      <c r="E15" s="37"/>
    </row>
    <row r="16" spans="1:5" ht="16.5" customHeight="1">
      <c r="A16" s="35" t="s">
        <v>105</v>
      </c>
      <c r="B16" s="33">
        <f>E2*0.15</f>
        <v>15</v>
      </c>
      <c r="C16" s="34"/>
      <c r="D16" s="34"/>
      <c r="E16" s="34"/>
    </row>
    <row r="17" spans="1:5" ht="21" customHeight="1">
      <c r="A17" s="184" t="s">
        <v>89</v>
      </c>
      <c r="B17" s="185"/>
      <c r="C17" s="185"/>
      <c r="D17" s="185"/>
      <c r="E17" s="186"/>
    </row>
    <row r="18" spans="1:5" ht="16.5" customHeight="1">
      <c r="A18" s="26" t="s">
        <v>73</v>
      </c>
      <c r="B18" s="30">
        <f>E2*((2-10*G7)/50)</f>
        <v>0</v>
      </c>
      <c r="C18" s="38"/>
      <c r="D18" s="38"/>
      <c r="E18" s="38"/>
    </row>
    <row r="19" spans="1:5" ht="16.5" customHeight="1">
      <c r="A19" s="35" t="str">
        <f>Сырьё!$B$7</f>
        <v>Консервант Acticide FI</v>
      </c>
      <c r="B19" s="36">
        <f>E2*0.002</f>
        <v>0.2</v>
      </c>
      <c r="C19" s="37"/>
      <c r="D19" s="37"/>
      <c r="E19" s="37"/>
    </row>
    <row r="20" spans="1:5" ht="15.75" customHeight="1">
      <c r="A20" s="35" t="s">
        <v>61</v>
      </c>
      <c r="B20" s="36">
        <f>E2*0.0005</f>
        <v>0.05</v>
      </c>
      <c r="C20" s="37"/>
      <c r="D20" s="37"/>
      <c r="E20" s="37"/>
    </row>
    <row r="21" spans="1:5" s="56" customFormat="1" ht="16.5" customHeight="1">
      <c r="A21" s="35" t="str">
        <f>Сырьё!$B$6</f>
        <v>Пеногаситель Contrapen PR-194</v>
      </c>
      <c r="B21" s="36">
        <f>E2*0.001</f>
        <v>0.1</v>
      </c>
      <c r="C21" s="37"/>
      <c r="D21" s="37"/>
      <c r="E21" s="37"/>
    </row>
    <row r="22" spans="1:5" ht="16.5" customHeight="1">
      <c r="A22" s="32" t="str">
        <f>Сырьё!$B$17</f>
        <v>Загуститель Rheovis 112</v>
      </c>
      <c r="B22" s="33">
        <f>E2*0.002</f>
        <v>0.2</v>
      </c>
      <c r="C22" s="190" t="s">
        <v>91</v>
      </c>
      <c r="D22" s="191"/>
      <c r="E22" s="192"/>
    </row>
    <row r="23" spans="1:5" ht="16.5" customHeight="1">
      <c r="A23" s="32" t="s">
        <v>0</v>
      </c>
      <c r="B23" s="33">
        <f>E2*0.002</f>
        <v>0.2</v>
      </c>
      <c r="C23" s="193"/>
      <c r="D23" s="194"/>
      <c r="E23" s="195"/>
    </row>
    <row r="24" spans="1:5" ht="33" customHeight="1">
      <c r="A24" s="187" t="s">
        <v>92</v>
      </c>
      <c r="B24" s="188"/>
      <c r="C24" s="188"/>
      <c r="D24" s="188"/>
      <c r="E24" s="189"/>
    </row>
    <row r="25" spans="1:5" ht="16.5" customHeight="1">
      <c r="A25" s="4" t="s">
        <v>11</v>
      </c>
      <c r="B25" s="3">
        <f>SUM(B6:B23)</f>
        <v>99.99999999999999</v>
      </c>
      <c r="C25" s="1"/>
      <c r="D25" s="1"/>
      <c r="E25" s="1"/>
    </row>
    <row r="26" spans="1:5" ht="13.5" customHeight="1">
      <c r="A26" s="12" t="s">
        <v>32</v>
      </c>
      <c r="B26" s="13">
        <f>(10*G7+B8+B10*0.1+B11*0.4+B12+B14+B15+B16+B18*0.5+(B21+B22)*0.3)*100/E2</f>
        <v>59.27</v>
      </c>
      <c r="C26" s="14"/>
      <c r="D26" s="14"/>
      <c r="E26" s="14"/>
    </row>
    <row r="27" spans="1:5" ht="21.75" customHeight="1">
      <c r="A27" s="148" t="s">
        <v>45</v>
      </c>
      <c r="B27" s="148"/>
      <c r="C27" s="148" t="s">
        <v>12</v>
      </c>
      <c r="D27" s="148"/>
      <c r="E27" s="148"/>
    </row>
    <row r="28" spans="1:10" s="16" customFormat="1" ht="11.25" customHeight="1">
      <c r="A28" s="163" t="s">
        <v>33</v>
      </c>
      <c r="B28" s="163"/>
      <c r="C28" s="163"/>
      <c r="D28" s="163"/>
      <c r="E28" s="163"/>
      <c r="F28" s="15"/>
      <c r="G28" s="15"/>
      <c r="H28" s="15"/>
      <c r="I28" s="15"/>
      <c r="J28" s="15"/>
    </row>
    <row r="29" spans="1:10" s="16" customFormat="1" ht="39" customHeight="1">
      <c r="A29" s="17" t="s">
        <v>13</v>
      </c>
      <c r="B29" s="159" t="s">
        <v>47</v>
      </c>
      <c r="C29" s="152"/>
      <c r="D29" s="151" t="s">
        <v>14</v>
      </c>
      <c r="E29" s="152"/>
      <c r="F29" s="18"/>
      <c r="G29" s="19"/>
      <c r="H29" s="19"/>
      <c r="I29" s="19"/>
      <c r="J29" s="19"/>
    </row>
    <row r="30" spans="1:10" s="16" customFormat="1" ht="18" customHeight="1">
      <c r="A30" s="20" t="s">
        <v>4</v>
      </c>
      <c r="B30" s="197" t="s">
        <v>34</v>
      </c>
      <c r="C30" s="179"/>
      <c r="D30" s="178" t="s">
        <v>2</v>
      </c>
      <c r="E30" s="179"/>
      <c r="F30" s="18"/>
      <c r="G30" s="19"/>
      <c r="H30" s="19"/>
      <c r="I30" s="19"/>
      <c r="J30" s="19"/>
    </row>
    <row r="31" spans="1:10" s="16" customFormat="1" ht="18" customHeight="1">
      <c r="A31" s="20" t="s">
        <v>35</v>
      </c>
      <c r="B31" s="197" t="s">
        <v>36</v>
      </c>
      <c r="C31" s="179"/>
      <c r="D31" s="178"/>
      <c r="E31" s="179"/>
      <c r="F31" s="18"/>
      <c r="G31" s="19"/>
      <c r="H31" s="19"/>
      <c r="I31" s="19"/>
      <c r="J31" s="19"/>
    </row>
    <row r="32" spans="1:10" s="16" customFormat="1" ht="18" customHeight="1">
      <c r="A32" s="20" t="s">
        <v>16</v>
      </c>
      <c r="B32" s="198" t="s">
        <v>37</v>
      </c>
      <c r="C32" s="199"/>
      <c r="D32" s="178" t="s">
        <v>3</v>
      </c>
      <c r="E32" s="179"/>
      <c r="F32" s="18"/>
      <c r="G32" s="19"/>
      <c r="H32" s="19"/>
      <c r="I32" s="19"/>
      <c r="J32" s="19"/>
    </row>
    <row r="33" spans="1:10" s="16" customFormat="1" ht="30" customHeight="1">
      <c r="A33" s="21" t="s">
        <v>38</v>
      </c>
      <c r="B33" s="198" t="s">
        <v>81</v>
      </c>
      <c r="C33" s="199"/>
      <c r="D33" s="178"/>
      <c r="E33" s="179"/>
      <c r="F33" s="18"/>
      <c r="G33" s="19"/>
      <c r="H33" s="19"/>
      <c r="I33" s="19"/>
      <c r="J33" s="19"/>
    </row>
    <row r="34" spans="1:10" s="16" customFormat="1" ht="18" customHeight="1">
      <c r="A34" s="20" t="s">
        <v>17</v>
      </c>
      <c r="B34" s="198" t="s">
        <v>40</v>
      </c>
      <c r="C34" s="199"/>
      <c r="D34" s="178"/>
      <c r="E34" s="179"/>
      <c r="F34" s="18"/>
      <c r="G34" s="19"/>
      <c r="H34" s="19"/>
      <c r="I34" s="19"/>
      <c r="J34" s="19"/>
    </row>
    <row r="35" spans="1:10" s="16" customFormat="1" ht="30" customHeight="1">
      <c r="A35" s="21" t="s">
        <v>41</v>
      </c>
      <c r="B35" s="198" t="s">
        <v>42</v>
      </c>
      <c r="C35" s="199"/>
      <c r="D35" s="178" t="s">
        <v>2</v>
      </c>
      <c r="E35" s="179"/>
      <c r="F35" s="18"/>
      <c r="G35" s="19"/>
      <c r="H35" s="19"/>
      <c r="I35" s="19"/>
      <c r="J35" s="19"/>
    </row>
    <row r="36" spans="1:6" s="16" customFormat="1" ht="14.25" customHeight="1">
      <c r="A36" s="171" t="s">
        <v>15</v>
      </c>
      <c r="B36" s="171"/>
      <c r="C36" s="22"/>
      <c r="D36" s="23" t="s">
        <v>19</v>
      </c>
      <c r="E36" s="24" t="s">
        <v>107</v>
      </c>
      <c r="F36" s="25"/>
    </row>
  </sheetData>
  <sheetProtection password="CEFD" sheet="1" objects="1" scenarios="1" selectLockedCells="1"/>
  <mergeCells count="28">
    <mergeCell ref="C22:E23"/>
    <mergeCell ref="D35:E35"/>
    <mergeCell ref="D29:E29"/>
    <mergeCell ref="D30:E30"/>
    <mergeCell ref="D31:E31"/>
    <mergeCell ref="D34:E34"/>
    <mergeCell ref="D32:E32"/>
    <mergeCell ref="D33:E33"/>
    <mergeCell ref="A1:E1"/>
    <mergeCell ref="B29:C29"/>
    <mergeCell ref="A28:E28"/>
    <mergeCell ref="A13:E13"/>
    <mergeCell ref="A17:E17"/>
    <mergeCell ref="A24:E24"/>
    <mergeCell ref="A3:C3"/>
    <mergeCell ref="B2:C2"/>
    <mergeCell ref="A27:B27"/>
    <mergeCell ref="A9:E9"/>
    <mergeCell ref="D4:E4"/>
    <mergeCell ref="B4:C4"/>
    <mergeCell ref="A36:B36"/>
    <mergeCell ref="B30:C30"/>
    <mergeCell ref="B31:C31"/>
    <mergeCell ref="B34:C34"/>
    <mergeCell ref="B35:C35"/>
    <mergeCell ref="B32:C32"/>
    <mergeCell ref="B33:C33"/>
    <mergeCell ref="C27:E27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J35"/>
  <sheetViews>
    <sheetView showGridLines="0" zoomScale="75" zoomScaleNormal="75" zoomScalePageLayoutView="0" workbookViewId="0" topLeftCell="A1">
      <selection activeCell="E3" sqref="E3"/>
    </sheetView>
  </sheetViews>
  <sheetFormatPr defaultColWidth="9.00390625" defaultRowHeight="12.75"/>
  <cols>
    <col min="1" max="1" width="33.875" style="2" customWidth="1"/>
    <col min="2" max="2" width="11.25390625" style="2" customWidth="1"/>
    <col min="3" max="3" width="13.625" style="2" customWidth="1"/>
    <col min="4" max="5" width="14.75390625" style="2" customWidth="1"/>
    <col min="6" max="16384" width="9.125" style="2" customWidth="1"/>
  </cols>
  <sheetData>
    <row r="1" spans="1:5" ht="36" customHeight="1">
      <c r="A1" s="157" t="s">
        <v>115</v>
      </c>
      <c r="B1" s="180"/>
      <c r="C1" s="180"/>
      <c r="D1" s="180"/>
      <c r="E1" s="180"/>
    </row>
    <row r="2" spans="1:5" ht="18.7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2000</v>
      </c>
    </row>
    <row r="3" spans="1:5" ht="24" customHeight="1">
      <c r="A3" s="160" t="s">
        <v>29</v>
      </c>
      <c r="B3" s="161"/>
      <c r="C3" s="162"/>
      <c r="D3" s="5" t="s">
        <v>21</v>
      </c>
      <c r="E3" s="9"/>
    </row>
    <row r="4" spans="1:5" ht="24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45.7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5" ht="16.5" customHeight="1">
      <c r="A6" s="29" t="s">
        <v>0</v>
      </c>
      <c r="B6" s="30">
        <f>E2-SUM(B7:B21)</f>
        <v>734.8</v>
      </c>
      <c r="C6" s="31"/>
      <c r="D6" s="31"/>
      <c r="E6" s="31"/>
    </row>
    <row r="7" spans="1:5" ht="16.5" customHeight="1">
      <c r="A7" s="32" t="str">
        <f>Сырьё!$B$15</f>
        <v>Polycol  WP-20B</v>
      </c>
      <c r="B7" s="33">
        <f>IF(A7="Walocel XM 6000 PV",E2*0.0046,IF(A7="Walocel XM 20000 PV",E2*0.0036,E2*0.004))</f>
        <v>8</v>
      </c>
      <c r="C7" s="34"/>
      <c r="D7" s="34"/>
      <c r="E7" s="34"/>
    </row>
    <row r="8" spans="1:5" ht="15.75" customHeight="1">
      <c r="A8" s="184" t="s">
        <v>90</v>
      </c>
      <c r="B8" s="185"/>
      <c r="C8" s="185"/>
      <c r="D8" s="185"/>
      <c r="E8" s="186"/>
    </row>
    <row r="9" spans="1:5" ht="16.5" customHeight="1">
      <c r="A9" s="29" t="s">
        <v>30</v>
      </c>
      <c r="B9" s="30">
        <f>E2*0.015</f>
        <v>30</v>
      </c>
      <c r="C9" s="31"/>
      <c r="D9" s="31"/>
      <c r="E9" s="31"/>
    </row>
    <row r="10" spans="1:5" ht="16.5" customHeight="1">
      <c r="A10" s="35" t="str">
        <f>Сырьё!$B$5</f>
        <v>Диспергатор Opotan N4045</v>
      </c>
      <c r="B10" s="36">
        <f>E2*0.003</f>
        <v>6</v>
      </c>
      <c r="C10" s="37"/>
      <c r="D10" s="37"/>
      <c r="E10" s="37"/>
    </row>
    <row r="11" spans="1:5" ht="16.5" customHeight="1">
      <c r="A11" s="35" t="s">
        <v>52</v>
      </c>
      <c r="B11" s="36">
        <f>E2*0.0001</f>
        <v>0.2</v>
      </c>
      <c r="C11" s="37"/>
      <c r="D11" s="37"/>
      <c r="E11" s="37"/>
    </row>
    <row r="12" spans="1:5" ht="15.75" customHeight="1">
      <c r="A12" s="181" t="s">
        <v>86</v>
      </c>
      <c r="B12" s="182"/>
      <c r="C12" s="182"/>
      <c r="D12" s="182"/>
      <c r="E12" s="183"/>
    </row>
    <row r="13" spans="1:5" ht="16.5" customHeight="1">
      <c r="A13" s="61" t="str">
        <f>Сырьё!B8</f>
        <v>Lomon  R996</v>
      </c>
      <c r="B13" s="30">
        <f>E2*0.015</f>
        <v>30</v>
      </c>
      <c r="C13" s="31"/>
      <c r="D13" s="31"/>
      <c r="E13" s="31"/>
    </row>
    <row r="14" spans="1:5" ht="16.5" customHeight="1">
      <c r="A14" s="35" t="str">
        <f>Сырьё!$B$9</f>
        <v>Omyacarb 2-UR</v>
      </c>
      <c r="B14" s="36">
        <f>E2*0.4</f>
        <v>800</v>
      </c>
      <c r="C14" s="37"/>
      <c r="D14" s="37"/>
      <c r="E14" s="37"/>
    </row>
    <row r="15" spans="1:5" ht="16.5" customHeight="1">
      <c r="A15" s="35" t="s">
        <v>105</v>
      </c>
      <c r="B15" s="33">
        <f>E2*0.15</f>
        <v>300</v>
      </c>
      <c r="C15" s="34"/>
      <c r="D15" s="34"/>
      <c r="E15" s="34"/>
    </row>
    <row r="16" spans="1:5" ht="17.25" customHeight="1">
      <c r="A16" s="184" t="s">
        <v>89</v>
      </c>
      <c r="B16" s="185"/>
      <c r="C16" s="185"/>
      <c r="D16" s="185"/>
      <c r="E16" s="186"/>
    </row>
    <row r="17" spans="1:5" ht="16.5" customHeight="1">
      <c r="A17" s="26" t="s">
        <v>73</v>
      </c>
      <c r="B17" s="30">
        <f>E2*0.04</f>
        <v>80</v>
      </c>
      <c r="C17" s="38"/>
      <c r="D17" s="38"/>
      <c r="E17" s="38"/>
    </row>
    <row r="18" spans="1:5" ht="16.5" customHeight="1">
      <c r="A18" s="35" t="str">
        <f>Сырьё!$B$7</f>
        <v>Консервант Acticide FI</v>
      </c>
      <c r="B18" s="36">
        <f>E2*0.002</f>
        <v>4</v>
      </c>
      <c r="C18" s="37"/>
      <c r="D18" s="37"/>
      <c r="E18" s="37"/>
    </row>
    <row r="19" spans="1:5" ht="15.75" customHeight="1">
      <c r="A19" s="35" t="s">
        <v>61</v>
      </c>
      <c r="B19" s="36">
        <f>E2*0.0005</f>
        <v>1</v>
      </c>
      <c r="C19" s="37"/>
      <c r="D19" s="37"/>
      <c r="E19" s="37"/>
    </row>
    <row r="20" spans="1:5" s="56" customFormat="1" ht="16.5" customHeight="1">
      <c r="A20" s="35" t="str">
        <f>Сырьё!$B$6</f>
        <v>Пеногаситель Contrapen PR-194</v>
      </c>
      <c r="B20" s="36">
        <f>E2*0.001</f>
        <v>2</v>
      </c>
      <c r="C20" s="37"/>
      <c r="D20" s="37"/>
      <c r="E20" s="37"/>
    </row>
    <row r="21" spans="1:5" ht="16.5" customHeight="1">
      <c r="A21" s="32" t="str">
        <f>Сырьё!$B$17</f>
        <v>Загуститель Rheovis 112</v>
      </c>
      <c r="B21" s="33">
        <f>E2*0.002</f>
        <v>4</v>
      </c>
      <c r="C21" s="190" t="s">
        <v>91</v>
      </c>
      <c r="D21" s="191"/>
      <c r="E21" s="192"/>
    </row>
    <row r="22" spans="1:5" ht="16.5" customHeight="1">
      <c r="A22" s="32" t="s">
        <v>0</v>
      </c>
      <c r="B22" s="33">
        <f>E2*0.002</f>
        <v>4</v>
      </c>
      <c r="C22" s="193"/>
      <c r="D22" s="194"/>
      <c r="E22" s="195"/>
    </row>
    <row r="23" spans="1:5" ht="33" customHeight="1">
      <c r="A23" s="187" t="s">
        <v>92</v>
      </c>
      <c r="B23" s="188"/>
      <c r="C23" s="188"/>
      <c r="D23" s="188"/>
      <c r="E23" s="189"/>
    </row>
    <row r="24" spans="1:5" ht="16.5" customHeight="1">
      <c r="A24" s="4" t="s">
        <v>11</v>
      </c>
      <c r="B24" s="3">
        <f>SUM(B6:B21)</f>
        <v>2000</v>
      </c>
      <c r="C24" s="1"/>
      <c r="D24" s="1"/>
      <c r="E24" s="1"/>
    </row>
    <row r="25" spans="1:5" ht="13.5" customHeight="1">
      <c r="A25" s="12" t="s">
        <v>32</v>
      </c>
      <c r="B25" s="13">
        <f>(B7+B9*0.1+B10*0.4+B11+B13+B14+B15+B17*0.5+(B20+B21)*0.3)*100/E2</f>
        <v>59.269999999999996</v>
      </c>
      <c r="C25" s="14"/>
      <c r="D25" s="14"/>
      <c r="E25" s="14"/>
    </row>
    <row r="26" spans="1:5" ht="21.75" customHeight="1">
      <c r="A26" s="148" t="s">
        <v>45</v>
      </c>
      <c r="B26" s="148"/>
      <c r="C26" s="148" t="s">
        <v>12</v>
      </c>
      <c r="D26" s="148"/>
      <c r="E26" s="148"/>
    </row>
    <row r="27" spans="1:10" s="16" customFormat="1" ht="11.25" customHeight="1">
      <c r="A27" s="163" t="s">
        <v>33</v>
      </c>
      <c r="B27" s="163"/>
      <c r="C27" s="163"/>
      <c r="D27" s="163"/>
      <c r="E27" s="163"/>
      <c r="F27" s="15"/>
      <c r="G27" s="15"/>
      <c r="H27" s="15"/>
      <c r="I27" s="15"/>
      <c r="J27" s="15"/>
    </row>
    <row r="28" spans="1:10" s="16" customFormat="1" ht="42" customHeight="1">
      <c r="A28" s="17" t="s">
        <v>13</v>
      </c>
      <c r="B28" s="159" t="s">
        <v>47</v>
      </c>
      <c r="C28" s="152"/>
      <c r="D28" s="151" t="s">
        <v>14</v>
      </c>
      <c r="E28" s="152"/>
      <c r="F28" s="18"/>
      <c r="G28" s="19"/>
      <c r="H28" s="19"/>
      <c r="I28" s="19"/>
      <c r="J28" s="19"/>
    </row>
    <row r="29" spans="1:10" s="16" customFormat="1" ht="18.75" customHeight="1">
      <c r="A29" s="20" t="s">
        <v>4</v>
      </c>
      <c r="B29" s="197" t="s">
        <v>34</v>
      </c>
      <c r="C29" s="179"/>
      <c r="D29" s="178" t="s">
        <v>2</v>
      </c>
      <c r="E29" s="179"/>
      <c r="F29" s="18"/>
      <c r="G29" s="19"/>
      <c r="H29" s="19"/>
      <c r="I29" s="19"/>
      <c r="J29" s="19"/>
    </row>
    <row r="30" spans="1:10" s="16" customFormat="1" ht="18" customHeight="1">
      <c r="A30" s="20" t="s">
        <v>35</v>
      </c>
      <c r="B30" s="197" t="s">
        <v>36</v>
      </c>
      <c r="C30" s="179"/>
      <c r="D30" s="178"/>
      <c r="E30" s="179"/>
      <c r="F30" s="18"/>
      <c r="G30" s="19"/>
      <c r="H30" s="19"/>
      <c r="I30" s="19"/>
      <c r="J30" s="19"/>
    </row>
    <row r="31" spans="1:10" s="16" customFormat="1" ht="18" customHeight="1">
      <c r="A31" s="20" t="s">
        <v>16</v>
      </c>
      <c r="B31" s="198" t="s">
        <v>37</v>
      </c>
      <c r="C31" s="199"/>
      <c r="D31" s="178" t="s">
        <v>3</v>
      </c>
      <c r="E31" s="179"/>
      <c r="F31" s="18"/>
      <c r="G31" s="19"/>
      <c r="H31" s="19"/>
      <c r="I31" s="19"/>
      <c r="J31" s="19"/>
    </row>
    <row r="32" spans="1:10" s="16" customFormat="1" ht="30" customHeight="1">
      <c r="A32" s="21" t="s">
        <v>38</v>
      </c>
      <c r="B32" s="198" t="s">
        <v>81</v>
      </c>
      <c r="C32" s="199"/>
      <c r="D32" s="178"/>
      <c r="E32" s="179"/>
      <c r="F32" s="18"/>
      <c r="G32" s="19"/>
      <c r="H32" s="19"/>
      <c r="I32" s="19"/>
      <c r="J32" s="19"/>
    </row>
    <row r="33" spans="1:10" s="16" customFormat="1" ht="18" customHeight="1">
      <c r="A33" s="20" t="s">
        <v>17</v>
      </c>
      <c r="B33" s="198" t="s">
        <v>40</v>
      </c>
      <c r="C33" s="199"/>
      <c r="D33" s="178"/>
      <c r="E33" s="179"/>
      <c r="F33" s="18"/>
      <c r="G33" s="19"/>
      <c r="H33" s="19"/>
      <c r="I33" s="19"/>
      <c r="J33" s="19"/>
    </row>
    <row r="34" spans="1:10" s="16" customFormat="1" ht="30" customHeight="1">
      <c r="A34" s="21" t="s">
        <v>41</v>
      </c>
      <c r="B34" s="198" t="s">
        <v>42</v>
      </c>
      <c r="C34" s="199"/>
      <c r="D34" s="178" t="s">
        <v>2</v>
      </c>
      <c r="E34" s="179"/>
      <c r="F34" s="18"/>
      <c r="G34" s="19"/>
      <c r="H34" s="19"/>
      <c r="I34" s="19"/>
      <c r="J34" s="19"/>
    </row>
    <row r="35" spans="1:6" s="16" customFormat="1" ht="14.25" customHeight="1">
      <c r="A35" s="171" t="s">
        <v>15</v>
      </c>
      <c r="B35" s="171"/>
      <c r="C35" s="22"/>
      <c r="D35" s="23" t="s">
        <v>19</v>
      </c>
      <c r="E35" s="24" t="s">
        <v>114</v>
      </c>
      <c r="F35" s="25"/>
    </row>
  </sheetData>
  <sheetProtection password="CEFD" sheet="1" objects="1" scenarios="1" selectLockedCells="1"/>
  <mergeCells count="28">
    <mergeCell ref="C21:E22"/>
    <mergeCell ref="D34:E34"/>
    <mergeCell ref="D28:E28"/>
    <mergeCell ref="D29:E29"/>
    <mergeCell ref="D30:E30"/>
    <mergeCell ref="D33:E33"/>
    <mergeCell ref="D31:E31"/>
    <mergeCell ref="D32:E32"/>
    <mergeCell ref="A1:E1"/>
    <mergeCell ref="B28:C28"/>
    <mergeCell ref="A27:E27"/>
    <mergeCell ref="A12:E12"/>
    <mergeCell ref="A16:E16"/>
    <mergeCell ref="A23:E23"/>
    <mergeCell ref="A3:C3"/>
    <mergeCell ref="B2:C2"/>
    <mergeCell ref="A26:B26"/>
    <mergeCell ref="A8:E8"/>
    <mergeCell ref="D4:E4"/>
    <mergeCell ref="B4:C4"/>
    <mergeCell ref="A35:B35"/>
    <mergeCell ref="B29:C29"/>
    <mergeCell ref="B30:C30"/>
    <mergeCell ref="B33:C33"/>
    <mergeCell ref="B34:C34"/>
    <mergeCell ref="B31:C31"/>
    <mergeCell ref="B32:C32"/>
    <mergeCell ref="C26:E26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J35"/>
  <sheetViews>
    <sheetView showGridLines="0" zoomScale="75" zoomScaleNormal="75" zoomScalePageLayoutView="0" workbookViewId="0" topLeftCell="A1">
      <selection activeCell="A17" sqref="A17"/>
    </sheetView>
  </sheetViews>
  <sheetFormatPr defaultColWidth="9.00390625" defaultRowHeight="12.75"/>
  <cols>
    <col min="1" max="1" width="33.875" style="2" customWidth="1"/>
    <col min="2" max="2" width="11.25390625" style="2" customWidth="1"/>
    <col min="3" max="3" width="13.625" style="2" customWidth="1"/>
    <col min="4" max="5" width="14.75390625" style="2" customWidth="1"/>
    <col min="6" max="16384" width="9.125" style="2" customWidth="1"/>
  </cols>
  <sheetData>
    <row r="1" spans="1:5" ht="36" customHeight="1">
      <c r="A1" s="157" t="s">
        <v>115</v>
      </c>
      <c r="B1" s="180"/>
      <c r="C1" s="180"/>
      <c r="D1" s="180"/>
      <c r="E1" s="180"/>
    </row>
    <row r="2" spans="1:5" ht="18.75" customHeight="1">
      <c r="A2" s="5" t="s">
        <v>28</v>
      </c>
      <c r="B2" s="168">
        <f ca="1">TODAY()</f>
        <v>43794</v>
      </c>
      <c r="C2" s="169"/>
      <c r="D2" s="7" t="s">
        <v>7</v>
      </c>
      <c r="E2" s="9">
        <v>100</v>
      </c>
    </row>
    <row r="3" spans="1:5" ht="24" customHeight="1">
      <c r="A3" s="160" t="s">
        <v>29</v>
      </c>
      <c r="B3" s="161"/>
      <c r="C3" s="162"/>
      <c r="D3" s="5" t="s">
        <v>21</v>
      </c>
      <c r="E3" s="9"/>
    </row>
    <row r="4" spans="1:5" ht="24" customHeight="1">
      <c r="A4" s="6" t="s">
        <v>54</v>
      </c>
      <c r="B4" s="196" t="s">
        <v>55</v>
      </c>
      <c r="C4" s="196"/>
      <c r="D4" s="196" t="s">
        <v>20</v>
      </c>
      <c r="E4" s="196"/>
    </row>
    <row r="5" spans="1:5" ht="45.75" customHeight="1">
      <c r="A5" s="8" t="s">
        <v>8</v>
      </c>
      <c r="B5" s="8" t="s">
        <v>5</v>
      </c>
      <c r="C5" s="8" t="s">
        <v>9</v>
      </c>
      <c r="D5" s="8" t="s">
        <v>6</v>
      </c>
      <c r="E5" s="8" t="s">
        <v>10</v>
      </c>
    </row>
    <row r="6" spans="1:5" ht="16.5" customHeight="1">
      <c r="A6" s="29" t="s">
        <v>0</v>
      </c>
      <c r="B6" s="30">
        <f>E2-SUM(B7:B21)</f>
        <v>36.739999999999995</v>
      </c>
      <c r="C6" s="31"/>
      <c r="D6" s="31"/>
      <c r="E6" s="31"/>
    </row>
    <row r="7" spans="1:5" ht="16.5" customHeight="1">
      <c r="A7" s="32" t="str">
        <f>Сырьё!$B$15</f>
        <v>Polycol  WP-20B</v>
      </c>
      <c r="B7" s="33">
        <f>IF(A7="Walocel XM 6000 PV",E2*0.0046,IF(A7="Walocel XM 20000 PV",E2*0.0036,E2*0.004))</f>
        <v>0.4</v>
      </c>
      <c r="C7" s="34"/>
      <c r="D7" s="34"/>
      <c r="E7" s="34"/>
    </row>
    <row r="8" spans="1:5" ht="15.75" customHeight="1">
      <c r="A8" s="184" t="s">
        <v>90</v>
      </c>
      <c r="B8" s="185"/>
      <c r="C8" s="185"/>
      <c r="D8" s="185"/>
      <c r="E8" s="186"/>
    </row>
    <row r="9" spans="1:5" ht="16.5" customHeight="1">
      <c r="A9" s="29" t="s">
        <v>30</v>
      </c>
      <c r="B9" s="30">
        <f>E2*0.015</f>
        <v>1.5</v>
      </c>
      <c r="C9" s="31"/>
      <c r="D9" s="31"/>
      <c r="E9" s="31"/>
    </row>
    <row r="10" spans="1:5" ht="16.5" customHeight="1">
      <c r="A10" s="35" t="str">
        <f>Сырьё!$B$5</f>
        <v>Диспергатор Opotan N4045</v>
      </c>
      <c r="B10" s="36">
        <f>E2*0.003</f>
        <v>0.3</v>
      </c>
      <c r="C10" s="37"/>
      <c r="D10" s="37"/>
      <c r="E10" s="37"/>
    </row>
    <row r="11" spans="1:5" ht="16.5" customHeight="1">
      <c r="A11" s="35" t="s">
        <v>52</v>
      </c>
      <c r="B11" s="36">
        <f>E2*0.0001</f>
        <v>0.01</v>
      </c>
      <c r="C11" s="37"/>
      <c r="D11" s="37"/>
      <c r="E11" s="37"/>
    </row>
    <row r="12" spans="1:5" ht="15.75" customHeight="1">
      <c r="A12" s="181" t="s">
        <v>86</v>
      </c>
      <c r="B12" s="182"/>
      <c r="C12" s="182"/>
      <c r="D12" s="182"/>
      <c r="E12" s="183"/>
    </row>
    <row r="13" spans="1:5" ht="16.5" customHeight="1">
      <c r="A13" s="61" t="str">
        <f>Сырьё!B8</f>
        <v>Lomon  R996</v>
      </c>
      <c r="B13" s="30">
        <f>E2*0.015</f>
        <v>1.5</v>
      </c>
      <c r="C13" s="31"/>
      <c r="D13" s="31"/>
      <c r="E13" s="31"/>
    </row>
    <row r="14" spans="1:5" ht="16.5" customHeight="1">
      <c r="A14" s="35" t="str">
        <f>Сырьё!$B$9</f>
        <v>Omyacarb 2-UR</v>
      </c>
      <c r="B14" s="36">
        <f>E2*0.4</f>
        <v>40</v>
      </c>
      <c r="C14" s="37"/>
      <c r="D14" s="37"/>
      <c r="E14" s="37"/>
    </row>
    <row r="15" spans="1:5" ht="16.5" customHeight="1">
      <c r="A15" s="35" t="s">
        <v>125</v>
      </c>
      <c r="B15" s="33">
        <f>E2*0.15</f>
        <v>15</v>
      </c>
      <c r="C15" s="34"/>
      <c r="D15" s="34"/>
      <c r="E15" s="34"/>
    </row>
    <row r="16" spans="1:5" ht="17.25" customHeight="1">
      <c r="A16" s="184" t="s">
        <v>89</v>
      </c>
      <c r="B16" s="185"/>
      <c r="C16" s="185"/>
      <c r="D16" s="185"/>
      <c r="E16" s="186"/>
    </row>
    <row r="17" spans="1:5" ht="16.5" customHeight="1">
      <c r="A17" s="26" t="s">
        <v>73</v>
      </c>
      <c r="B17" s="30">
        <f>E2*0.04</f>
        <v>4</v>
      </c>
      <c r="C17" s="38"/>
      <c r="D17" s="38"/>
      <c r="E17" s="38"/>
    </row>
    <row r="18" spans="1:5" ht="16.5" customHeight="1">
      <c r="A18" s="35" t="str">
        <f>Сырьё!$B$7</f>
        <v>Консервант Acticide FI</v>
      </c>
      <c r="B18" s="36">
        <f>E2*0.002</f>
        <v>0.2</v>
      </c>
      <c r="C18" s="37"/>
      <c r="D18" s="37"/>
      <c r="E18" s="37"/>
    </row>
    <row r="19" spans="1:5" ht="15.75" customHeight="1">
      <c r="A19" s="35" t="s">
        <v>61</v>
      </c>
      <c r="B19" s="36">
        <f>E2*0.0005</f>
        <v>0.05</v>
      </c>
      <c r="C19" s="37"/>
      <c r="D19" s="37"/>
      <c r="E19" s="37"/>
    </row>
    <row r="20" spans="1:5" s="56" customFormat="1" ht="16.5" customHeight="1">
      <c r="A20" s="35" t="str">
        <f>Сырьё!$B$6</f>
        <v>Пеногаситель Contrapen PR-194</v>
      </c>
      <c r="B20" s="36">
        <f>E2*0.001</f>
        <v>0.1</v>
      </c>
      <c r="C20" s="37"/>
      <c r="D20" s="37"/>
      <c r="E20" s="37"/>
    </row>
    <row r="21" spans="1:5" ht="16.5" customHeight="1">
      <c r="A21" s="32" t="str">
        <f>Сырьё!$B$17</f>
        <v>Загуститель Rheovis 112</v>
      </c>
      <c r="B21" s="33">
        <f>E2*0.002</f>
        <v>0.2</v>
      </c>
      <c r="C21" s="190" t="s">
        <v>91</v>
      </c>
      <c r="D21" s="191"/>
      <c r="E21" s="192"/>
    </row>
    <row r="22" spans="1:5" ht="16.5" customHeight="1">
      <c r="A22" s="32" t="s">
        <v>0</v>
      </c>
      <c r="B22" s="33">
        <f>E2*0.002</f>
        <v>0.2</v>
      </c>
      <c r="C22" s="193"/>
      <c r="D22" s="194"/>
      <c r="E22" s="195"/>
    </row>
    <row r="23" spans="1:5" ht="33" customHeight="1">
      <c r="A23" s="187" t="s">
        <v>92</v>
      </c>
      <c r="B23" s="188"/>
      <c r="C23" s="188"/>
      <c r="D23" s="188"/>
      <c r="E23" s="189"/>
    </row>
    <row r="24" spans="1:5" ht="16.5" customHeight="1">
      <c r="A24" s="4" t="s">
        <v>11</v>
      </c>
      <c r="B24" s="3">
        <f>SUM(B6:B21)</f>
        <v>99.99999999999999</v>
      </c>
      <c r="C24" s="1"/>
      <c r="D24" s="1"/>
      <c r="E24" s="1"/>
    </row>
    <row r="25" spans="1:5" ht="13.5" customHeight="1">
      <c r="A25" s="12" t="s">
        <v>32</v>
      </c>
      <c r="B25" s="13">
        <f>(B7+B9*0.1+B10*0.4+B11+B13+B14+B15+B17*0.5+(B20+B21)*0.3)*100/E2</f>
        <v>59.27</v>
      </c>
      <c r="C25" s="14"/>
      <c r="D25" s="14"/>
      <c r="E25" s="14"/>
    </row>
    <row r="26" spans="1:5" ht="21.75" customHeight="1">
      <c r="A26" s="148" t="s">
        <v>45</v>
      </c>
      <c r="B26" s="148"/>
      <c r="C26" s="148" t="s">
        <v>12</v>
      </c>
      <c r="D26" s="148"/>
      <c r="E26" s="148"/>
    </row>
    <row r="27" spans="1:10" s="16" customFormat="1" ht="11.25" customHeight="1">
      <c r="A27" s="163" t="s">
        <v>33</v>
      </c>
      <c r="B27" s="163"/>
      <c r="C27" s="163"/>
      <c r="D27" s="163"/>
      <c r="E27" s="163"/>
      <c r="F27" s="15"/>
      <c r="G27" s="15"/>
      <c r="H27" s="15"/>
      <c r="I27" s="15"/>
      <c r="J27" s="15"/>
    </row>
    <row r="28" spans="1:10" s="16" customFormat="1" ht="42" customHeight="1">
      <c r="A28" s="17" t="s">
        <v>13</v>
      </c>
      <c r="B28" s="159" t="s">
        <v>47</v>
      </c>
      <c r="C28" s="152"/>
      <c r="D28" s="151" t="s">
        <v>14</v>
      </c>
      <c r="E28" s="152"/>
      <c r="F28" s="18"/>
      <c r="G28" s="19"/>
      <c r="H28" s="19"/>
      <c r="I28" s="19"/>
      <c r="J28" s="19"/>
    </row>
    <row r="29" spans="1:10" s="16" customFormat="1" ht="18.75" customHeight="1">
      <c r="A29" s="20" t="s">
        <v>4</v>
      </c>
      <c r="B29" s="197" t="s">
        <v>34</v>
      </c>
      <c r="C29" s="179"/>
      <c r="D29" s="178" t="s">
        <v>2</v>
      </c>
      <c r="E29" s="179"/>
      <c r="F29" s="18"/>
      <c r="G29" s="19"/>
      <c r="H29" s="19"/>
      <c r="I29" s="19"/>
      <c r="J29" s="19"/>
    </row>
    <row r="30" spans="1:10" s="16" customFormat="1" ht="18" customHeight="1">
      <c r="A30" s="20" t="s">
        <v>35</v>
      </c>
      <c r="B30" s="197" t="s">
        <v>36</v>
      </c>
      <c r="C30" s="179"/>
      <c r="D30" s="178"/>
      <c r="E30" s="179"/>
      <c r="F30" s="18"/>
      <c r="G30" s="19"/>
      <c r="H30" s="19"/>
      <c r="I30" s="19"/>
      <c r="J30" s="19"/>
    </row>
    <row r="31" spans="1:10" s="16" customFormat="1" ht="18" customHeight="1">
      <c r="A31" s="20" t="s">
        <v>16</v>
      </c>
      <c r="B31" s="198" t="s">
        <v>37</v>
      </c>
      <c r="C31" s="199"/>
      <c r="D31" s="178" t="s">
        <v>3</v>
      </c>
      <c r="E31" s="179"/>
      <c r="F31" s="18"/>
      <c r="G31" s="19"/>
      <c r="H31" s="19"/>
      <c r="I31" s="19"/>
      <c r="J31" s="19"/>
    </row>
    <row r="32" spans="1:10" s="16" customFormat="1" ht="30" customHeight="1">
      <c r="A32" s="21" t="s">
        <v>38</v>
      </c>
      <c r="B32" s="198" t="s">
        <v>81</v>
      </c>
      <c r="C32" s="199"/>
      <c r="D32" s="178"/>
      <c r="E32" s="179"/>
      <c r="F32" s="18"/>
      <c r="G32" s="19"/>
      <c r="H32" s="19"/>
      <c r="I32" s="19"/>
      <c r="J32" s="19"/>
    </row>
    <row r="33" spans="1:10" s="16" customFormat="1" ht="18" customHeight="1">
      <c r="A33" s="20" t="s">
        <v>17</v>
      </c>
      <c r="B33" s="198" t="s">
        <v>40</v>
      </c>
      <c r="C33" s="199"/>
      <c r="D33" s="178"/>
      <c r="E33" s="179"/>
      <c r="F33" s="18"/>
      <c r="G33" s="19"/>
      <c r="H33" s="19"/>
      <c r="I33" s="19"/>
      <c r="J33" s="19"/>
    </row>
    <row r="34" spans="1:10" s="16" customFormat="1" ht="30" customHeight="1">
      <c r="A34" s="21" t="s">
        <v>41</v>
      </c>
      <c r="B34" s="198" t="s">
        <v>42</v>
      </c>
      <c r="C34" s="199"/>
      <c r="D34" s="178" t="s">
        <v>2</v>
      </c>
      <c r="E34" s="179"/>
      <c r="F34" s="18"/>
      <c r="G34" s="19"/>
      <c r="H34" s="19"/>
      <c r="I34" s="19"/>
      <c r="J34" s="19"/>
    </row>
    <row r="35" spans="1:6" s="16" customFormat="1" ht="14.25" customHeight="1">
      <c r="A35" s="171" t="s">
        <v>15</v>
      </c>
      <c r="B35" s="171"/>
      <c r="C35" s="22"/>
      <c r="D35" s="23" t="s">
        <v>19</v>
      </c>
      <c r="E35" s="24" t="s">
        <v>114</v>
      </c>
      <c r="F35" s="25"/>
    </row>
  </sheetData>
  <sheetProtection password="CEFD" sheet="1" objects="1" scenarios="1" selectLockedCells="1"/>
  <mergeCells count="28">
    <mergeCell ref="D4:E4"/>
    <mergeCell ref="B4:C4"/>
    <mergeCell ref="A35:B35"/>
    <mergeCell ref="B29:C29"/>
    <mergeCell ref="B30:C30"/>
    <mergeCell ref="B33:C33"/>
    <mergeCell ref="B34:C34"/>
    <mergeCell ref="B31:C31"/>
    <mergeCell ref="B32:C32"/>
    <mergeCell ref="C26:E26"/>
    <mergeCell ref="A1:E1"/>
    <mergeCell ref="B28:C28"/>
    <mergeCell ref="A27:E27"/>
    <mergeCell ref="A12:E12"/>
    <mergeCell ref="A16:E16"/>
    <mergeCell ref="A23:E23"/>
    <mergeCell ref="A3:C3"/>
    <mergeCell ref="B2:C2"/>
    <mergeCell ref="A26:B26"/>
    <mergeCell ref="A8:E8"/>
    <mergeCell ref="C21:E22"/>
    <mergeCell ref="D34:E34"/>
    <mergeCell ref="D28:E28"/>
    <mergeCell ref="D29:E29"/>
    <mergeCell ref="D30:E30"/>
    <mergeCell ref="D33:E33"/>
    <mergeCell ref="D31:E31"/>
    <mergeCell ref="D32:E32"/>
  </mergeCells>
  <printOptions/>
  <pageMargins left="0.7874015748031497" right="0.3937007874015748" top="0.3937007874015748" bottom="0.3937007874015748" header="0.31496062992125984" footer="0.31496062992125984"/>
  <pageSetup horizontalDpi="150" verticalDpi="15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ВГТ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Алиса</dc:creator>
  <cp:keywords/>
  <dc:description/>
  <cp:lastModifiedBy>Мой Дорогой</cp:lastModifiedBy>
  <cp:lastPrinted>2007-07-28T07:37:01Z</cp:lastPrinted>
  <dcterms:created xsi:type="dcterms:W3CDTF">2000-10-05T06:39:59Z</dcterms:created>
  <dcterms:modified xsi:type="dcterms:W3CDTF">2019-11-25T09:39:36Z</dcterms:modified>
  <cp:category/>
  <cp:version/>
  <cp:contentType/>
  <cp:contentStatus/>
</cp:coreProperties>
</file>